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steo" sheetId="1" r:id="rId4"/>
    <sheet state="visible" name="Punto de Equilibrio" sheetId="2" r:id="rId5"/>
    <sheet state="visible" name="Comparador" sheetId="3" r:id="rId6"/>
    <sheet state="visible" name="Dashboard" sheetId="4" r:id="rId7"/>
  </sheets>
  <definedNames/>
  <calcPr/>
  <extLst>
    <ext uri="GoogleSheetsCustomDataVersion2">
      <go:sheetsCustomData xmlns:go="http://customooxmlschemas.google.com/" r:id="rId8" roundtripDataChecksum="2n95CwutI4sBBk4P//qXd6NZmT/swj+J2zBKTnnw10A="/>
    </ext>
  </extLst>
</workbook>
</file>

<file path=xl/sharedStrings.xml><?xml version="1.0" encoding="utf-8"?>
<sst xmlns="http://schemas.openxmlformats.org/spreadsheetml/2006/main" count="114" uniqueCount="104">
  <si>
    <t>Calculadora de Costos de Prenda</t>
  </si>
  <si>
    <t>Ingresa tus costos → tus precios aparecen automáticamente</t>
  </si>
  <si>
    <t>TUS RESULTADOS</t>
  </si>
  <si>
    <t>Nombre de la prenda</t>
  </si>
  <si>
    <t>Ej: Vestido Lino 001</t>
  </si>
  <si>
    <t>Unidades a producir</t>
  </si>
  <si>
    <t>CONCEPTO</t>
  </si>
  <si>
    <t>COSTO UNITARIO (COP)</t>
  </si>
  <si>
    <t>Precio mínimo — Margen 40%</t>
  </si>
  <si>
    <t>MATERIALES</t>
  </si>
  <si>
    <t>Precio mínimo — Margen 50%</t>
  </si>
  <si>
    <t>Tela principal</t>
  </si>
  <si>
    <t>Incluye ~15% de desperdicio</t>
  </si>
  <si>
    <t>Precio mínimo — Margen 60%</t>
  </si>
  <si>
    <t>Forro / tela secundaria</t>
  </si>
  <si>
    <t>Ganancia c/ margen 40%</t>
  </si>
  <si>
    <t>Insumos (botones, cierre…)</t>
  </si>
  <si>
    <t>Ganancia c/ margen 50%</t>
  </si>
  <si>
    <t>Etiquetas y hang tags</t>
  </si>
  <si>
    <t>Ganancia c/ margen 60%</t>
  </si>
  <si>
    <t>Empaque</t>
  </si>
  <si>
    <t>Bolsa, caja, papel</t>
  </si>
  <si>
    <t>PRODUCCIÓN</t>
  </si>
  <si>
    <t>¿QUÉ PRECIO COBRAS HOY?</t>
  </si>
  <si>
    <t>Confección / mano de obra</t>
  </si>
  <si>
    <t>Mi precio actual</t>
  </si>
  <si>
    <t>Bordados / estampados</t>
  </si>
  <si>
    <t>Si aplica</t>
  </si>
  <si>
    <t>Ganancia por unidad</t>
  </si>
  <si>
    <t>Acabados / lavandería</t>
  </si>
  <si>
    <t>DISEÑO Y DESARROLLO</t>
  </si>
  <si>
    <t>Celdas en amarillo = tú las llenas  ·  Celdas blancas = calculadas automáticamente  ·  Rojo = alerta de pérdida</t>
  </si>
  <si>
    <t>Patronaje y ficha técnica</t>
  </si>
  <si>
    <t>Costo total ÷ unidades</t>
  </si>
  <si>
    <t>Muestra / prototipo</t>
  </si>
  <si>
    <t>LOGÍSTICA Y MARKETING</t>
  </si>
  <si>
    <t>Transporte al cliente</t>
  </si>
  <si>
    <t>Fotografía de producto</t>
  </si>
  <si>
    <t>Sesión ÷ unidades</t>
  </si>
  <si>
    <t>Marketing asignado</t>
  </si>
  <si>
    <t>Pauta ÷ unidades</t>
  </si>
  <si>
    <t>OTROS</t>
  </si>
  <si>
    <t>Otros costos 1</t>
  </si>
  <si>
    <t>Otros costos 2</t>
  </si>
  <si>
    <t>COSTO TOTAL UNITARIO</t>
  </si>
  <si>
    <t>Punto de Equilibrio de Colección</t>
  </si>
  <si>
    <t>¿Cuántas unidades necesitas vender para recuperar todo lo invertido?</t>
  </si>
  <si>
    <t>INVERSIÓN TOTAL DE LA COLECCIÓN</t>
  </si>
  <si>
    <t>Unidades para recuperar inversión</t>
  </si>
  <si>
    <t>Telas y materiales (total colección)</t>
  </si>
  <si>
    <t>Ingresos al llegar al equilibrio</t>
  </si>
  <si>
    <t>Confección / producción total</t>
  </si>
  <si>
    <t>Semanas vendiendo 10 unid./sem</t>
  </si>
  <si>
    <t>Diseño, patronaje y muestras</t>
  </si>
  <si>
    <t>Semanas vendiendo 20 unid./sem</t>
  </si>
  <si>
    <t>Fotografía y contenido</t>
  </si>
  <si>
    <t>Ganancia si vendes el doble del equilibrio</t>
  </si>
  <si>
    <t>Marketing y lanzamiento</t>
  </si>
  <si>
    <t>Costos fijos del período</t>
  </si>
  <si>
    <t>Otros</t>
  </si>
  <si>
    <t>INVERSIÓN TOTAL</t>
  </si>
  <si>
    <t>DATOS POR PRENDA</t>
  </si>
  <si>
    <t>Costo unitario de producción</t>
  </si>
  <si>
    <t>Precio de venta real</t>
  </si>
  <si>
    <t>Descuentos promedio (%)</t>
  </si>
  <si>
    <t>Precio neto (después de descuentos)</t>
  </si>
  <si>
    <t>Ganancia neta por unidad vendida</t>
  </si>
  <si>
    <t>Comparador de Colección</t>
  </si>
  <si>
    <t>Ingresa todas tus referencias · descubre qué prendas son tus héroes financieros</t>
  </si>
  <si>
    <t>#</t>
  </si>
  <si>
    <t>REFERENCIA / NOMBRE</t>
  </si>
  <si>
    <t>COSTO UNIT.</t>
  </si>
  <si>
    <t>PRECIO VENTA</t>
  </si>
  <si>
    <t>MARGEN %</t>
  </si>
  <si>
    <t>GANANCIA UNIT.</t>
  </si>
  <si>
    <t>ESTADO</t>
  </si>
  <si>
    <t>Prenda 1 — escribe el nombre aquí</t>
  </si>
  <si>
    <t>Prenda 2 — escribe el nombre aquí</t>
  </si>
  <si>
    <t>Prenda 3 — escribe el nombre aquí</t>
  </si>
  <si>
    <t>TOTALES DE COLECCIÓN</t>
  </si>
  <si>
    <t>RESUMEN DE COLECCIÓN</t>
  </si>
  <si>
    <t>Prenda más rentable</t>
  </si>
  <si>
    <t>Prendas en pérdida</t>
  </si>
  <si>
    <t>Prendas con margen &gt; 50%</t>
  </si>
  <si>
    <t>Ganancia total de colección</t>
  </si>
  <si>
    <t xml:space="preserve">Dashboard · Stitch </t>
  </si>
  <si>
    <t>Resumen ejecutivo de tu colección — se actualiza automáticamente</t>
  </si>
  <si>
    <t>COSTO PROMEDIO</t>
  </si>
  <si>
    <t>PRECIO PROMEDIO</t>
  </si>
  <si>
    <t>MARGEN PROMEDIO</t>
  </si>
  <si>
    <t>PRENDAS EN 🔴</t>
  </si>
  <si>
    <t>TOP PRENDAS POR RENTABILIDAD</t>
  </si>
  <si>
    <t>RANK</t>
  </si>
  <si>
    <t>PRENDA</t>
  </si>
  <si>
    <t>COSTO</t>
  </si>
  <si>
    <t>PRECIO</t>
  </si>
  <si>
    <t>MARGEN</t>
  </si>
  <si>
    <t>⭐ TOP 3</t>
  </si>
  <si>
    <t>✅ Bien</t>
  </si>
  <si>
    <t>👀 Revisar</t>
  </si>
  <si>
    <t>ALERTAS DE COLECCIÓN</t>
  </si>
  <si>
    <t>¿Recuperaste la inversión?</t>
  </si>
  <si>
    <t>Prendas en pérdida activa</t>
  </si>
  <si>
    <t>Margen promedio de colección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</si>
</sst>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\$#,##0"/>
  </numFmts>
  <fonts count="35">
    <font>
      <sz val="11.0"/>
      <color theme="1"/>
      <name val="Calibri"/>
      <scheme val="minor"/>
    </font>
    <font>
      <sz val="11.0"/>
      <color theme="1"/>
      <name val="Calibri"/>
    </font>
    <font/>
    <font>
      <b/>
      <sz val="22.0"/>
      <color rgb="FF7D2D2D"/>
      <name val="Arial"/>
    </font>
    <font>
      <i/>
      <sz val="10.0"/>
      <color rgb="FFA0A0A0"/>
      <name val="Arial"/>
    </font>
    <font>
      <b/>
      <sz val="10.0"/>
      <color rgb="FFFFFFFF"/>
      <name val="Arial"/>
    </font>
    <font>
      <b/>
      <sz val="10.0"/>
      <color rgb="FF4A4A4A"/>
      <name val="Arial"/>
    </font>
    <font>
      <sz val="11.0"/>
      <color rgb="FF1A56A0"/>
      <name val="Arial"/>
    </font>
    <font>
      <b/>
      <sz val="12.0"/>
      <color rgb="FF1A56A0"/>
      <name val="Arial"/>
    </font>
    <font>
      <b/>
      <sz val="9.0"/>
      <color rgb="FFFFFFFF"/>
      <name val="Arial"/>
    </font>
    <font>
      <sz val="9.0"/>
      <color rgb="FF4A4A4A"/>
      <name val="Arial"/>
    </font>
    <font>
      <b/>
      <sz val="12.0"/>
      <color rgb="FF7D2D2D"/>
      <name val="Arial"/>
    </font>
    <font>
      <b/>
      <sz val="10.0"/>
      <color rgb="FF7D2D2D"/>
      <name val="Arial"/>
    </font>
    <font>
      <sz val="10.0"/>
      <color rgb="FF4A4A4A"/>
      <name val="Arial"/>
    </font>
    <font>
      <b/>
      <sz val="11.0"/>
      <color rgb="FF1A56A0"/>
      <name val="Arial"/>
    </font>
    <font>
      <i/>
      <sz val="8.0"/>
      <color rgb="FFA0A0A0"/>
      <name val="Arial"/>
    </font>
    <font>
      <b/>
      <sz val="14.0"/>
      <color rgb="FF1A56A0"/>
      <name val="Arial"/>
    </font>
    <font>
      <b/>
      <sz val="14.0"/>
      <color theme="1"/>
      <name val="Arial"/>
    </font>
    <font>
      <b/>
      <sz val="10.0"/>
      <color theme="1"/>
      <name val="Arial"/>
    </font>
    <font>
      <b/>
      <sz val="12.0"/>
      <color rgb="FF2C2C2C"/>
      <name val="Arial"/>
    </font>
    <font>
      <b/>
      <sz val="16.0"/>
      <color rgb="FF7D2D2D"/>
      <name val="Arial"/>
    </font>
    <font>
      <b/>
      <sz val="14.0"/>
      <color rgb="FF7D2D2D"/>
      <name val="Arial"/>
    </font>
    <font>
      <b/>
      <sz val="11.0"/>
      <color rgb="FF4A4A4A"/>
      <name val="Arial"/>
    </font>
    <font>
      <sz val="9.0"/>
      <color rgb="FFA0A0A0"/>
      <name val="Arial"/>
    </font>
    <font>
      <sz val="10.0"/>
      <color rgb="FF1A56A0"/>
      <name val="Arial"/>
    </font>
    <font>
      <b/>
      <sz val="10.0"/>
      <color rgb="FF1A56A0"/>
      <name val="Arial"/>
    </font>
    <font>
      <sz val="9.0"/>
      <color theme="1"/>
      <name val="Arial"/>
    </font>
    <font>
      <b/>
      <sz val="11.0"/>
      <color rgb="FF2C2C2C"/>
      <name val="Arial"/>
    </font>
    <font>
      <b/>
      <sz val="11.0"/>
      <color rgb="FF7D2D2D"/>
      <name val="Arial"/>
    </font>
    <font>
      <b/>
      <sz val="9.0"/>
      <color rgb="FF4A4A4A"/>
      <name val="Arial"/>
    </font>
    <font>
      <b/>
      <sz val="20.0"/>
      <color rgb="FF7D2D2D"/>
      <name val="Arial"/>
    </font>
    <font>
      <b/>
      <sz val="11.0"/>
      <color rgb="FFFFFFFF"/>
      <name val="Arial"/>
    </font>
    <font>
      <sz val="10.0"/>
      <color rgb="FF7D2D2D"/>
      <name val="Arial"/>
    </font>
    <font>
      <b/>
      <sz val="9.0"/>
      <color rgb="FF7D2D2D"/>
      <name val="Arial"/>
    </font>
    <font>
      <b/>
      <sz val="11.0"/>
      <color rgb="FFA0A0A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9F0C7"/>
        <bgColor rgb="FFF9F0C7"/>
      </patternFill>
    </fill>
    <fill>
      <patternFill patternType="solid">
        <fgColor rgb="FFF9D9D9"/>
        <bgColor rgb="FFF9D9D9"/>
      </patternFill>
    </fill>
    <fill>
      <patternFill patternType="solid">
        <fgColor rgb="FF7D2D2D"/>
        <bgColor rgb="FF7D2D2D"/>
      </patternFill>
    </fill>
    <fill>
      <patternFill patternType="solid">
        <fgColor rgb="FFF0E49A"/>
        <bgColor rgb="FFF0E49A"/>
      </patternFill>
    </fill>
    <fill>
      <patternFill patternType="solid">
        <fgColor rgb="FF2C2C2C"/>
        <bgColor rgb="FF2C2C2C"/>
      </patternFill>
    </fill>
    <fill>
      <patternFill patternType="solid">
        <fgColor rgb="FFF5F5F5"/>
        <bgColor rgb="FFF5F5F5"/>
      </patternFill>
    </fill>
  </fills>
  <borders count="10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</border>
    <border>
      <left style="thin">
        <color rgb="FFE0E0E0"/>
      </left>
      <top style="thin">
        <color rgb="FFE0E0E0"/>
      </top>
      <bottom style="thin">
        <color rgb="FFE0E0E0"/>
      </bottom>
    </border>
    <border>
      <top style="thin">
        <color rgb="FFE0E0E0"/>
      </top>
      <bottom style="thin">
        <color rgb="FFE0E0E0"/>
      </bottom>
    </border>
    <border>
      <right style="thin">
        <color rgb="FFE0E0E0"/>
      </right>
      <top style="thin">
        <color rgb="FFE0E0E0"/>
      </top>
      <bottom style="thin">
        <color rgb="FFE0E0E0"/>
      </bottom>
    </border>
    <border>
      <right/>
      <top style="thin">
        <color rgb="FFE0E0E0"/>
      </top>
      <bottom style="thin">
        <color rgb="FFE0E0E0"/>
      </bottom>
    </border>
  </borders>
  <cellStyleXfs count="1">
    <xf borderId="0" fillId="0" fontId="0" numFmtId="0" applyAlignment="1" applyFont="1"/>
  </cellStyleXfs>
  <cellXfs count="10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2" fillId="3" fontId="1" numFmtId="0" xfId="0" applyAlignment="1" applyBorder="1" applyFill="1" applyFont="1">
      <alignment horizontal="center" shrinkToFit="0" vertical="bottom" wrapText="0"/>
    </xf>
    <xf borderId="3" fillId="0" fontId="2" numFmtId="0" xfId="0" applyBorder="1" applyFont="1"/>
    <xf borderId="4" fillId="0" fontId="2" numFmtId="0" xfId="0" applyBorder="1" applyFont="1"/>
    <xf borderId="2" fillId="3" fontId="3" numFmtId="0" xfId="0" applyAlignment="1" applyBorder="1" applyFont="1">
      <alignment horizontal="center" shrinkToFit="0" vertical="center" wrapText="1"/>
    </xf>
    <xf borderId="2" fillId="3" fontId="4" numFmtId="0" xfId="0" applyAlignment="1" applyBorder="1" applyFont="1">
      <alignment horizontal="center" shrinkToFit="0" vertical="center" wrapText="1"/>
    </xf>
    <xf borderId="1" fillId="4" fontId="1" numFmtId="0" xfId="0" applyAlignment="1" applyBorder="1" applyFill="1" applyFont="1">
      <alignment shrinkToFit="0" vertical="bottom" wrapText="0"/>
    </xf>
    <xf borderId="2" fillId="5" fontId="5" numFmtId="0" xfId="0" applyAlignment="1" applyBorder="1" applyFill="1" applyFont="1">
      <alignment horizontal="center" shrinkToFit="0" vertical="center" wrapText="1"/>
    </xf>
    <xf borderId="5" fillId="2" fontId="6" numFmtId="0" xfId="0" applyAlignment="1" applyBorder="1" applyFont="1">
      <alignment horizontal="left" shrinkToFit="0" vertical="center" wrapText="1"/>
    </xf>
    <xf borderId="6" fillId="3" fontId="7" numFmtId="0" xfId="0" applyAlignment="1" applyBorder="1" applyFont="1">
      <alignment horizontal="left" shrinkToFit="0" vertical="center" wrapText="1"/>
    </xf>
    <xf borderId="7" fillId="0" fontId="2" numFmtId="0" xfId="0" applyBorder="1" applyFont="1"/>
    <xf borderId="8" fillId="0" fontId="2" numFmtId="0" xfId="0" applyBorder="1" applyFont="1"/>
    <xf borderId="5" fillId="3" fontId="8" numFmtId="3" xfId="0" applyAlignment="1" applyBorder="1" applyFont="1" applyNumberFormat="1">
      <alignment horizontal="right" shrinkToFit="0" vertical="center" wrapText="0"/>
    </xf>
    <xf borderId="1" fillId="6" fontId="1" numFmtId="0" xfId="0" applyAlignment="1" applyBorder="1" applyFill="1" applyFont="1">
      <alignment shrinkToFit="0" vertical="bottom" wrapText="0"/>
    </xf>
    <xf borderId="5" fillId="7" fontId="9" numFmtId="0" xfId="0" applyAlignment="1" applyBorder="1" applyFill="1" applyFont="1">
      <alignment horizontal="left" shrinkToFit="0" vertical="center" wrapText="1"/>
    </xf>
    <xf borderId="5" fillId="7" fontId="9" numFmtId="0" xfId="0" applyAlignment="1" applyBorder="1" applyFont="1">
      <alignment horizontal="center" shrinkToFit="0" vertical="center" wrapText="1"/>
    </xf>
    <xf borderId="5" fillId="2" fontId="10" numFmtId="0" xfId="0" applyAlignment="1" applyBorder="1" applyFont="1">
      <alignment horizontal="left" shrinkToFit="0" vertical="center" wrapText="1"/>
    </xf>
    <xf borderId="5" fillId="2" fontId="11" numFmtId="164" xfId="0" applyAlignment="1" applyBorder="1" applyFont="1" applyNumberFormat="1">
      <alignment horizontal="right" shrinkToFit="0" vertical="center" wrapText="0"/>
    </xf>
    <xf borderId="2" fillId="4" fontId="12" numFmtId="0" xfId="0" applyAlignment="1" applyBorder="1" applyFont="1">
      <alignment horizontal="left" shrinkToFit="0" vertical="center" wrapText="1"/>
    </xf>
    <xf borderId="5" fillId="4" fontId="10" numFmtId="0" xfId="0" applyAlignment="1" applyBorder="1" applyFont="1">
      <alignment horizontal="left" shrinkToFit="0" vertical="center" wrapText="1"/>
    </xf>
    <xf borderId="5" fillId="4" fontId="11" numFmtId="164" xfId="0" applyAlignment="1" applyBorder="1" applyFont="1" applyNumberFormat="1">
      <alignment horizontal="right" shrinkToFit="0" vertical="center" wrapText="0"/>
    </xf>
    <xf borderId="5" fillId="8" fontId="13" numFmtId="0" xfId="0" applyAlignment="1" applyBorder="1" applyFill="1" applyFont="1">
      <alignment horizontal="left" shrinkToFit="0" vertical="center" wrapText="1"/>
    </xf>
    <xf borderId="5" fillId="3" fontId="14" numFmtId="164" xfId="0" applyAlignment="1" applyBorder="1" applyFont="1" applyNumberFormat="1">
      <alignment horizontal="right" readingOrder="0" shrinkToFit="0" vertical="center" wrapText="0"/>
    </xf>
    <xf borderId="1" fillId="2" fontId="15" numFmtId="0" xfId="0" applyAlignment="1" applyBorder="1" applyFont="1">
      <alignment horizontal="left" shrinkToFit="0" vertical="center" wrapText="1"/>
    </xf>
    <xf borderId="5" fillId="2" fontId="13" numFmtId="0" xfId="0" applyAlignment="1" applyBorder="1" applyFont="1">
      <alignment horizontal="left" shrinkToFit="0" vertical="center" wrapText="1"/>
    </xf>
    <xf borderId="2" fillId="7" fontId="5" numFmtId="0" xfId="0" applyAlignment="1" applyBorder="1" applyFont="1">
      <alignment horizontal="center" shrinkToFit="0" vertical="center" wrapText="1"/>
    </xf>
    <xf borderId="5" fillId="3" fontId="6" numFmtId="0" xfId="0" applyAlignment="1" applyBorder="1" applyFont="1">
      <alignment horizontal="left" shrinkToFit="0" vertical="center" wrapText="1"/>
    </xf>
    <xf borderId="5" fillId="3" fontId="16" numFmtId="164" xfId="0" applyAlignment="1" applyBorder="1" applyFont="1" applyNumberFormat="1">
      <alignment horizontal="right" shrinkToFit="0" vertical="center" wrapText="0"/>
    </xf>
    <xf borderId="5" fillId="2" fontId="17" numFmtId="164" xfId="0" applyAlignment="1" applyBorder="1" applyFont="1" applyNumberFormat="1">
      <alignment horizontal="right" shrinkToFit="0" vertical="center" wrapText="0"/>
    </xf>
    <xf borderId="5" fillId="3" fontId="14" numFmtId="164" xfId="0" applyAlignment="1" applyBorder="1" applyFont="1" applyNumberFormat="1">
      <alignment horizontal="right" shrinkToFit="0" vertical="center" wrapText="0"/>
    </xf>
    <xf borderId="6" fillId="4" fontId="18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6" fillId="8" fontId="15" numFmtId="0" xfId="0" applyAlignment="1" applyBorder="1" applyFont="1">
      <alignment horizontal="center" shrinkToFit="0" vertical="center" wrapText="1"/>
    </xf>
    <xf borderId="5" fillId="6" fontId="19" numFmtId="0" xfId="0" applyAlignment="1" applyBorder="1" applyFont="1">
      <alignment horizontal="left" shrinkToFit="0" vertical="center" wrapText="1"/>
    </xf>
    <xf borderId="5" fillId="6" fontId="20" numFmtId="164" xfId="0" applyAlignment="1" applyBorder="1" applyFont="1" applyNumberFormat="1">
      <alignment horizontal="right" shrinkToFit="0" vertical="center" wrapText="0"/>
    </xf>
    <xf borderId="2" fillId="2" fontId="3" numFmtId="0" xfId="0" applyAlignment="1" applyBorder="1" applyFont="1">
      <alignment horizontal="center" shrinkToFit="0" vertical="center" wrapText="1"/>
    </xf>
    <xf borderId="2" fillId="2" fontId="4" numFmtId="0" xfId="0" applyAlignment="1" applyBorder="1" applyFont="1">
      <alignment horizontal="center" shrinkToFit="0" vertical="center" wrapText="1"/>
    </xf>
    <xf borderId="5" fillId="3" fontId="10" numFmtId="0" xfId="0" applyAlignment="1" applyBorder="1" applyFont="1">
      <alignment horizontal="left" shrinkToFit="0" vertical="center" wrapText="1"/>
    </xf>
    <xf borderId="5" fillId="3" fontId="21" numFmtId="3" xfId="0" applyAlignment="1" applyBorder="1" applyFont="1" applyNumberFormat="1">
      <alignment horizontal="right" shrinkToFit="0" vertical="center" wrapText="0"/>
    </xf>
    <xf borderId="5" fillId="4" fontId="11" numFmtId="3" xfId="0" applyAlignment="1" applyBorder="1" applyFont="1" applyNumberFormat="1">
      <alignment horizontal="right" shrinkToFit="0" vertical="center" wrapText="0"/>
    </xf>
    <xf borderId="5" fillId="2" fontId="11" numFmtId="3" xfId="0" applyAlignment="1" applyBorder="1" applyFont="1" applyNumberFormat="1">
      <alignment horizontal="right" shrinkToFit="0" vertical="center" wrapText="0"/>
    </xf>
    <xf borderId="5" fillId="3" fontId="14" numFmtId="9" xfId="0" applyAlignment="1" applyBorder="1" applyFont="1" applyNumberFormat="1">
      <alignment horizontal="right" shrinkToFit="0" vertical="center" wrapText="0"/>
    </xf>
    <xf borderId="5" fillId="2" fontId="22" numFmtId="164" xfId="0" applyAlignment="1" applyBorder="1" applyFont="1" applyNumberFormat="1">
      <alignment horizontal="right" shrinkToFit="0" vertical="center" wrapText="0"/>
    </xf>
    <xf borderId="5" fillId="8" fontId="22" numFmtId="164" xfId="0" applyAlignment="1" applyBorder="1" applyFont="1" applyNumberFormat="1">
      <alignment horizontal="right" shrinkToFit="0" vertical="center" wrapText="0"/>
    </xf>
    <xf borderId="5" fillId="2" fontId="9" numFmtId="0" xfId="0" applyAlignment="1" applyBorder="1" applyFont="1">
      <alignment horizontal="center" shrinkToFit="0" vertical="center" wrapText="1"/>
    </xf>
    <xf borderId="5" fillId="8" fontId="23" numFmtId="0" xfId="0" applyAlignment="1" applyBorder="1" applyFont="1">
      <alignment horizontal="center" shrinkToFit="0" vertical="center" wrapText="1"/>
    </xf>
    <xf borderId="5" fillId="3" fontId="24" numFmtId="0" xfId="0" applyAlignment="1" applyBorder="1" applyFont="1">
      <alignment horizontal="left" shrinkToFit="0" vertical="center" wrapText="1"/>
    </xf>
    <xf borderId="5" fillId="3" fontId="25" numFmtId="164" xfId="0" applyAlignment="1" applyBorder="1" applyFont="1" applyNumberFormat="1">
      <alignment horizontal="right" shrinkToFit="0" vertical="center" wrapText="0"/>
    </xf>
    <xf borderId="5" fillId="8" fontId="18" numFmtId="9" xfId="0" applyAlignment="1" applyBorder="1" applyFont="1" applyNumberFormat="1">
      <alignment horizontal="center" shrinkToFit="0" vertical="center" wrapText="1"/>
    </xf>
    <xf borderId="5" fillId="8" fontId="18" numFmtId="164" xfId="0" applyAlignment="1" applyBorder="1" applyFont="1" applyNumberFormat="1">
      <alignment horizontal="right" shrinkToFit="0" vertical="center" wrapText="0"/>
    </xf>
    <xf borderId="5" fillId="8" fontId="26" numFmtId="0" xfId="0" applyAlignment="1" applyBorder="1" applyFont="1">
      <alignment horizontal="center" shrinkToFit="0" vertical="center" wrapText="1"/>
    </xf>
    <xf borderId="5" fillId="2" fontId="23" numFmtId="0" xfId="0" applyAlignment="1" applyBorder="1" applyFont="1">
      <alignment horizontal="center" shrinkToFit="0" vertical="center" wrapText="1"/>
    </xf>
    <xf borderId="5" fillId="2" fontId="18" numFmtId="9" xfId="0" applyAlignment="1" applyBorder="1" applyFont="1" applyNumberFormat="1">
      <alignment horizontal="center" shrinkToFit="0" vertical="center" wrapText="1"/>
    </xf>
    <xf borderId="5" fillId="2" fontId="18" numFmtId="164" xfId="0" applyAlignment="1" applyBorder="1" applyFont="1" applyNumberFormat="1">
      <alignment horizontal="right" shrinkToFit="0" vertical="center" wrapText="0"/>
    </xf>
    <xf borderId="5" fillId="2" fontId="26" numFmtId="0" xfId="0" applyAlignment="1" applyBorder="1" applyFont="1">
      <alignment horizontal="center" shrinkToFit="0" vertical="center" wrapText="1"/>
    </xf>
    <xf borderId="5" fillId="2" fontId="24" numFmtId="0" xfId="0" applyAlignment="1" applyBorder="1" applyFont="1">
      <alignment horizontal="left" shrinkToFit="0" vertical="center" wrapText="1"/>
    </xf>
    <xf borderId="5" fillId="2" fontId="25" numFmtId="164" xfId="0" applyAlignment="1" applyBorder="1" applyFont="1" applyNumberFormat="1">
      <alignment horizontal="right" shrinkToFit="0" vertical="center" wrapText="0"/>
    </xf>
    <xf borderId="5" fillId="8" fontId="24" numFmtId="0" xfId="0" applyAlignment="1" applyBorder="1" applyFont="1">
      <alignment horizontal="left" shrinkToFit="0" vertical="center" wrapText="1"/>
    </xf>
    <xf borderId="5" fillId="8" fontId="25" numFmtId="164" xfId="0" applyAlignment="1" applyBorder="1" applyFont="1" applyNumberFormat="1">
      <alignment horizontal="right" shrinkToFit="0" vertical="center" wrapText="0"/>
    </xf>
    <xf borderId="5" fillId="6" fontId="23" numFmtId="0" xfId="0" applyAlignment="1" applyBorder="1" applyFont="1">
      <alignment horizontal="center" shrinkToFit="0" vertical="center" wrapText="1"/>
    </xf>
    <xf borderId="5" fillId="6" fontId="24" numFmtId="0" xfId="0" applyAlignment="1" applyBorder="1" applyFont="1">
      <alignment horizontal="left" shrinkToFit="0" vertical="center" wrapText="1"/>
    </xf>
    <xf borderId="5" fillId="6" fontId="25" numFmtId="164" xfId="0" applyAlignment="1" applyBorder="1" applyFont="1" applyNumberFormat="1">
      <alignment horizontal="right" shrinkToFit="0" vertical="center" wrapText="0"/>
    </xf>
    <xf borderId="5" fillId="6" fontId="18" numFmtId="9" xfId="0" applyAlignment="1" applyBorder="1" applyFont="1" applyNumberFormat="1">
      <alignment horizontal="center" shrinkToFit="0" vertical="center" wrapText="1"/>
    </xf>
    <xf borderId="5" fillId="6" fontId="18" numFmtId="164" xfId="0" applyAlignment="1" applyBorder="1" applyFont="1" applyNumberFormat="1">
      <alignment horizontal="right" shrinkToFit="0" vertical="center" wrapText="0"/>
    </xf>
    <xf borderId="5" fillId="6" fontId="26" numFmtId="0" xfId="0" applyAlignment="1" applyBorder="1" applyFont="1">
      <alignment horizontal="center" shrinkToFit="0" vertical="center" wrapText="1"/>
    </xf>
    <xf borderId="5" fillId="6" fontId="27" numFmtId="0" xfId="0" applyAlignment="1" applyBorder="1" applyFont="1">
      <alignment horizontal="left" shrinkToFit="0" vertical="center" wrapText="1"/>
    </xf>
    <xf borderId="5" fillId="6" fontId="11" numFmtId="164" xfId="0" applyAlignment="1" applyBorder="1" applyFont="1" applyNumberFormat="1">
      <alignment horizontal="right" shrinkToFit="0" vertical="center" wrapText="0"/>
    </xf>
    <xf borderId="5" fillId="6" fontId="11" numFmtId="9" xfId="0" applyAlignment="1" applyBorder="1" applyFont="1" applyNumberFormat="1">
      <alignment horizontal="right" shrinkToFit="0" vertical="center" wrapText="0"/>
    </xf>
    <xf borderId="2" fillId="4" fontId="28" numFmtId="0" xfId="0" applyAlignment="1" applyBorder="1" applyFont="1">
      <alignment horizontal="center" shrinkToFit="0" vertical="center" wrapText="1"/>
    </xf>
    <xf borderId="1" fillId="8" fontId="1" numFmtId="0" xfId="0" applyAlignment="1" applyBorder="1" applyFont="1">
      <alignment shrinkToFit="0" vertical="bottom" wrapText="0"/>
    </xf>
    <xf borderId="6" fillId="8" fontId="11" numFmtId="49" xfId="0" applyAlignment="1" applyBorder="1" applyFont="1" applyNumberFormat="1">
      <alignment horizontal="right" shrinkToFit="0" vertical="center" wrapText="0"/>
    </xf>
    <xf borderId="6" fillId="2" fontId="11" numFmtId="3" xfId="0" applyAlignment="1" applyBorder="1" applyFont="1" applyNumberFormat="1">
      <alignment horizontal="right" shrinkToFit="0" vertical="center" wrapText="0"/>
    </xf>
    <xf borderId="6" fillId="8" fontId="11" numFmtId="3" xfId="0" applyAlignment="1" applyBorder="1" applyFont="1" applyNumberFormat="1">
      <alignment horizontal="right" shrinkToFit="0" vertical="center" wrapText="0"/>
    </xf>
    <xf borderId="6" fillId="3" fontId="11" numFmtId="164" xfId="0" applyAlignment="1" applyBorder="1" applyFont="1" applyNumberFormat="1">
      <alignment horizontal="right" shrinkToFit="0" vertical="center" wrapText="0"/>
    </xf>
    <xf borderId="2" fillId="2" fontId="3" numFmtId="0" xfId="0" applyAlignment="1" applyBorder="1" applyFont="1">
      <alignment horizontal="center" readingOrder="0" shrinkToFit="0" vertical="center" wrapText="1"/>
    </xf>
    <xf borderId="6" fillId="4" fontId="29" numFmtId="0" xfId="0" applyAlignment="1" applyBorder="1" applyFont="1">
      <alignment horizontal="center" shrinkToFit="0" vertical="center" wrapText="1"/>
    </xf>
    <xf borderId="6" fillId="3" fontId="29" numFmtId="0" xfId="0" applyAlignment="1" applyBorder="1" applyFont="1">
      <alignment horizontal="center" shrinkToFit="0" vertical="center" wrapText="1"/>
    </xf>
    <xf borderId="6" fillId="4" fontId="30" numFmtId="164" xfId="0" applyAlignment="1" applyBorder="1" applyFont="1" applyNumberFormat="1">
      <alignment horizontal="center" shrinkToFit="0" vertical="center" wrapText="1"/>
    </xf>
    <xf borderId="6" fillId="3" fontId="30" numFmtId="164" xfId="0" applyAlignment="1" applyBorder="1" applyFont="1" applyNumberFormat="1">
      <alignment horizontal="center" shrinkToFit="0" vertical="center" wrapText="1"/>
    </xf>
    <xf borderId="6" fillId="4" fontId="30" numFmtId="9" xfId="0" applyAlignment="1" applyBorder="1" applyFont="1" applyNumberFormat="1">
      <alignment horizontal="center" shrinkToFit="0" vertical="center" wrapText="1"/>
    </xf>
    <xf borderId="6" fillId="3" fontId="30" numFmtId="3" xfId="0" applyAlignment="1" applyBorder="1" applyFont="1" applyNumberFormat="1">
      <alignment horizontal="center" shrinkToFit="0" vertical="center" wrapText="1"/>
    </xf>
    <xf borderId="6" fillId="4" fontId="1" numFmtId="0" xfId="0" applyAlignment="1" applyBorder="1" applyFont="1">
      <alignment shrinkToFit="0" vertical="bottom" wrapText="0"/>
    </xf>
    <xf borderId="6" fillId="3" fontId="1" numFmtId="0" xfId="0" applyAlignment="1" applyBorder="1" applyFont="1">
      <alignment shrinkToFit="0" vertical="bottom" wrapText="0"/>
    </xf>
    <xf borderId="2" fillId="7" fontId="31" numFmtId="0" xfId="0" applyAlignment="1" applyBorder="1" applyFont="1">
      <alignment horizontal="center" shrinkToFit="0" vertical="center" wrapText="1"/>
    </xf>
    <xf borderId="5" fillId="3" fontId="28" numFmtId="0" xfId="0" applyAlignment="1" applyBorder="1" applyFont="1">
      <alignment horizontal="center" shrinkToFit="0" vertical="center" wrapText="1"/>
    </xf>
    <xf borderId="5" fillId="3" fontId="32" numFmtId="0" xfId="0" applyAlignment="1" applyBorder="1" applyFont="1">
      <alignment horizontal="left" shrinkToFit="0" vertical="center" wrapText="1"/>
    </xf>
    <xf borderId="5" fillId="3" fontId="32" numFmtId="164" xfId="0" applyAlignment="1" applyBorder="1" applyFont="1" applyNumberFormat="1">
      <alignment horizontal="right" shrinkToFit="0" vertical="center" wrapText="0"/>
    </xf>
    <xf borderId="5" fillId="3" fontId="32" numFmtId="9" xfId="0" applyAlignment="1" applyBorder="1" applyFont="1" applyNumberFormat="1">
      <alignment horizontal="right" shrinkToFit="0" vertical="center" wrapText="0"/>
    </xf>
    <xf borderId="5" fillId="3" fontId="12" numFmtId="164" xfId="0" applyAlignment="1" applyBorder="1" applyFont="1" applyNumberFormat="1">
      <alignment horizontal="right" shrinkToFit="0" vertical="center" wrapText="0"/>
    </xf>
    <xf borderId="5" fillId="3" fontId="33" numFmtId="0" xfId="0" applyAlignment="1" applyBorder="1" applyFont="1">
      <alignment horizontal="center" shrinkToFit="0" vertical="center" wrapText="1"/>
    </xf>
    <xf borderId="5" fillId="2" fontId="34" numFmtId="0" xfId="0" applyAlignment="1" applyBorder="1" applyFont="1">
      <alignment horizontal="center" shrinkToFit="0" vertical="center" wrapText="1"/>
    </xf>
    <xf borderId="5" fillId="2" fontId="13" numFmtId="164" xfId="0" applyAlignment="1" applyBorder="1" applyFont="1" applyNumberFormat="1">
      <alignment horizontal="right" shrinkToFit="0" vertical="center" wrapText="0"/>
    </xf>
    <xf borderId="5" fillId="2" fontId="13" numFmtId="9" xfId="0" applyAlignment="1" applyBorder="1" applyFont="1" applyNumberFormat="1">
      <alignment horizontal="right" shrinkToFit="0" vertical="center" wrapText="0"/>
    </xf>
    <xf borderId="5" fillId="2" fontId="6" numFmtId="164" xfId="0" applyAlignment="1" applyBorder="1" applyFont="1" applyNumberFormat="1">
      <alignment horizontal="right" shrinkToFit="0" vertical="center" wrapText="0"/>
    </xf>
    <xf borderId="5" fillId="2" fontId="10" numFmtId="0" xfId="0" applyAlignment="1" applyBorder="1" applyFont="1">
      <alignment horizontal="center" shrinkToFit="0" vertical="center" wrapText="1"/>
    </xf>
    <xf borderId="5" fillId="8" fontId="34" numFmtId="0" xfId="0" applyAlignment="1" applyBorder="1" applyFont="1">
      <alignment horizontal="center" shrinkToFit="0" vertical="center" wrapText="1"/>
    </xf>
    <xf borderId="5" fillId="8" fontId="13" numFmtId="164" xfId="0" applyAlignment="1" applyBorder="1" applyFont="1" applyNumberFormat="1">
      <alignment horizontal="right" shrinkToFit="0" vertical="center" wrapText="0"/>
    </xf>
    <xf borderId="5" fillId="8" fontId="13" numFmtId="9" xfId="0" applyAlignment="1" applyBorder="1" applyFont="1" applyNumberFormat="1">
      <alignment horizontal="right" shrinkToFit="0" vertical="center" wrapText="0"/>
    </xf>
    <xf borderId="5" fillId="8" fontId="6" numFmtId="164" xfId="0" applyAlignment="1" applyBorder="1" applyFont="1" applyNumberFormat="1">
      <alignment horizontal="right" shrinkToFit="0" vertical="center" wrapText="0"/>
    </xf>
    <xf borderId="5" fillId="8" fontId="10" numFmtId="0" xfId="0" applyAlignment="1" applyBorder="1" applyFont="1">
      <alignment horizontal="center" shrinkToFit="0" vertical="center" wrapText="1"/>
    </xf>
    <xf borderId="6" fillId="8" fontId="13" numFmtId="0" xfId="0" applyAlignment="1" applyBorder="1" applyFont="1">
      <alignment horizontal="left" shrinkToFit="0" vertical="center" wrapText="1"/>
    </xf>
    <xf borderId="6" fillId="8" fontId="18" numFmtId="0" xfId="0" applyAlignment="1" applyBorder="1" applyFont="1">
      <alignment horizontal="left" shrinkToFit="0" vertical="center" wrapText="1"/>
    </xf>
    <xf borderId="6" fillId="2" fontId="13" numFmtId="0" xfId="0" applyAlignment="1" applyBorder="1" applyFont="1">
      <alignment horizontal="left" shrinkToFit="0" vertical="center" wrapText="1"/>
    </xf>
    <xf borderId="6" fillId="2" fontId="18" numFmtId="0" xfId="0" applyAlignment="1" applyBorder="1" applyFont="1">
      <alignment horizontal="left" shrinkToFit="0" vertical="center" wrapText="1"/>
    </xf>
  </cellXfs>
  <cellStyles count="1">
    <cellStyle xfId="0" name="Normal" builtinId="0"/>
  </cellStyles>
  <dxfs count="6">
    <dxf>
      <font>
        <b/>
        <sz val="14.0"/>
        <color rgb="FFFFFFFF"/>
      </font>
      <fill>
        <patternFill patternType="solid">
          <fgColor rgb="FF7D2D2D"/>
          <bgColor rgb="FF7D2D2D"/>
        </patternFill>
      </fill>
      <border/>
    </dxf>
    <dxf>
      <font>
        <b/>
        <sz val="14.0"/>
        <color rgb="FF1B5E20"/>
      </font>
      <fill>
        <patternFill patternType="solid">
          <fgColor rgb="FFC8E6C9"/>
          <bgColor rgb="FFC8E6C9"/>
        </patternFill>
      </fill>
      <border/>
    </dxf>
    <dxf>
      <font>
        <b/>
        <sz val="10.0"/>
        <color rgb="FFFFFFFF"/>
      </font>
      <fill>
        <patternFill patternType="solid">
          <fgColor rgb="FF7D2D2D"/>
          <bgColor rgb="FF7D2D2D"/>
        </patternFill>
      </fill>
      <border/>
    </dxf>
    <dxf>
      <font>
        <b/>
        <color rgb="FFFFFFFF"/>
      </font>
      <fill>
        <patternFill patternType="solid">
          <fgColor rgb="FF7D2D2D"/>
          <bgColor rgb="FF7D2D2D"/>
        </patternFill>
      </fill>
      <border/>
    </dxf>
    <dxf>
      <font/>
      <fill>
        <patternFill patternType="solid">
          <fgColor rgb="FFFFF3CD"/>
          <bgColor rgb="FFFFF3CD"/>
        </patternFill>
      </fill>
      <border/>
    </dxf>
    <dxf>
      <font>
        <b/>
        <color rgb="FF1B5E20"/>
      </font>
      <fill>
        <patternFill patternType="solid">
          <fgColor rgb="FFC8E6C9"/>
          <bgColor rgb="FFC8E6C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0</xdr:row>
      <xdr:rowOff>0</xdr:rowOff>
    </xdr:from>
    <xdr:ext cx="1162050" cy="657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9F0C7"/>
    <pageSetUpPr/>
  </sheetPr>
  <sheetViews>
    <sheetView showGridLines="0" workbookViewId="0">
      <pane xSplit="1.0" ySplit="9.0" topLeftCell="B10" activePane="bottomRight" state="frozen"/>
      <selection activeCell="B1" sqref="B1" pane="topRight"/>
      <selection activeCell="A10" sqref="A10" pane="bottomLeft"/>
      <selection activeCell="B10" sqref="B10" pane="bottomRight"/>
    </sheetView>
  </sheetViews>
  <sheetFormatPr customHeight="1" defaultColWidth="14.43" defaultRowHeight="15.0"/>
  <cols>
    <col customWidth="1" min="1" max="1" width="7.57"/>
    <col customWidth="1" min="2" max="2" width="32.43"/>
    <col customWidth="1" min="3" max="3" width="16.0"/>
    <col customWidth="1" min="4" max="4" width="11.71"/>
    <col customWidth="1" min="5" max="5" width="22.0"/>
    <col customWidth="1" min="6" max="6" width="16.0"/>
    <col customWidth="1" min="7" max="26" width="8.71"/>
  </cols>
  <sheetData>
    <row r="1" ht="51.75" customHeight="1">
      <c r="A1" s="1"/>
      <c r="B1" s="2"/>
      <c r="C1" s="3"/>
      <c r="D1" s="3"/>
      <c r="E1" s="3"/>
      <c r="F1" s="4"/>
    </row>
    <row r="2" ht="51.75" customHeight="1">
      <c r="A2" s="1"/>
      <c r="B2" s="5" t="s">
        <v>0</v>
      </c>
      <c r="C2" s="3"/>
      <c r="D2" s="3"/>
      <c r="E2" s="3"/>
      <c r="F2" s="4"/>
    </row>
    <row r="3" ht="24.0" customHeight="1">
      <c r="A3" s="1"/>
      <c r="B3" s="6" t="s">
        <v>1</v>
      </c>
      <c r="C3" s="3"/>
      <c r="D3" s="3"/>
      <c r="E3" s="3"/>
      <c r="F3" s="4"/>
    </row>
    <row r="4" ht="3.75" customHeight="1">
      <c r="A4" s="1"/>
      <c r="B4" s="7"/>
      <c r="C4" s="7"/>
      <c r="D4" s="7"/>
      <c r="E4" s="7"/>
      <c r="F4" s="7"/>
    </row>
    <row r="5" ht="27.75" customHeight="1">
      <c r="A5" s="1"/>
      <c r="E5" s="8" t="s">
        <v>2</v>
      </c>
      <c r="F5" s="4"/>
    </row>
    <row r="6" ht="31.5" customHeight="1">
      <c r="A6" s="1"/>
      <c r="B6" s="9" t="s">
        <v>3</v>
      </c>
      <c r="C6" s="10" t="s">
        <v>4</v>
      </c>
      <c r="D6" s="11"/>
      <c r="E6" s="11"/>
      <c r="F6" s="12"/>
    </row>
    <row r="7" ht="31.5" customHeight="1">
      <c r="A7" s="1"/>
      <c r="B7" s="9" t="s">
        <v>5</v>
      </c>
      <c r="C7" s="13">
        <v>50.0</v>
      </c>
    </row>
    <row r="8" ht="9.75" customHeight="1">
      <c r="A8" s="1"/>
      <c r="B8" s="14"/>
      <c r="C8" s="14"/>
      <c r="D8" s="14"/>
      <c r="E8" s="14"/>
      <c r="F8" s="14"/>
    </row>
    <row r="9" ht="27.75" customHeight="1">
      <c r="A9" s="1"/>
      <c r="B9" s="15" t="s">
        <v>6</v>
      </c>
      <c r="C9" s="16" t="s">
        <v>7</v>
      </c>
      <c r="D9" s="1"/>
      <c r="E9" s="17" t="s">
        <v>8</v>
      </c>
      <c r="F9" s="18">
        <f>IFERROR(C32/(1-0.4),0)</f>
        <v>67666.66667</v>
      </c>
    </row>
    <row r="10" ht="27.75" customHeight="1">
      <c r="A10" s="1"/>
      <c r="B10" s="19" t="s">
        <v>9</v>
      </c>
      <c r="C10" s="4"/>
      <c r="E10" s="20" t="s">
        <v>10</v>
      </c>
      <c r="F10" s="21">
        <f>IFERROR(C32/(1-0.5),0)</f>
        <v>81200</v>
      </c>
    </row>
    <row r="11" ht="27.75" customHeight="1">
      <c r="A11" s="1"/>
      <c r="B11" s="22" t="s">
        <v>11</v>
      </c>
      <c r="C11" s="23">
        <v>5000.0</v>
      </c>
      <c r="D11" s="24" t="s">
        <v>12</v>
      </c>
      <c r="E11" s="17" t="s">
        <v>13</v>
      </c>
      <c r="F11" s="18">
        <f>IFERROR(C32/(1-0.6),0)</f>
        <v>101500</v>
      </c>
    </row>
    <row r="12" ht="27.75" customHeight="1">
      <c r="A12" s="1"/>
      <c r="B12" s="25" t="s">
        <v>14</v>
      </c>
      <c r="C12" s="23">
        <v>3000.0</v>
      </c>
      <c r="E12" s="17" t="s">
        <v>15</v>
      </c>
      <c r="F12" s="18">
        <f>IFERROR(C32/(1-0.4)-C32,0)</f>
        <v>27066.66667</v>
      </c>
    </row>
    <row r="13" ht="27.75" customHeight="1">
      <c r="A13" s="1"/>
      <c r="B13" s="22" t="s">
        <v>16</v>
      </c>
      <c r="C13" s="23">
        <v>500.0</v>
      </c>
      <c r="E13" s="20" t="s">
        <v>17</v>
      </c>
      <c r="F13" s="21">
        <f>IFERROR(C32/(1-0.5)-C32,0)</f>
        <v>40600</v>
      </c>
    </row>
    <row r="14" ht="27.75" customHeight="1">
      <c r="A14" s="1"/>
      <c r="B14" s="25" t="s">
        <v>18</v>
      </c>
      <c r="C14" s="23">
        <v>900.0</v>
      </c>
      <c r="E14" s="17" t="s">
        <v>19</v>
      </c>
      <c r="F14" s="18">
        <f>IFERROR(C32/(1-0.6)-C32,0)</f>
        <v>60900</v>
      </c>
    </row>
    <row r="15" ht="23.25" customHeight="1">
      <c r="A15" s="1"/>
      <c r="B15" s="22" t="s">
        <v>20</v>
      </c>
      <c r="C15" s="23">
        <v>4600.0</v>
      </c>
      <c r="D15" s="24" t="s">
        <v>21</v>
      </c>
    </row>
    <row r="16" ht="36.75" customHeight="1">
      <c r="A16" s="1"/>
      <c r="B16" s="19" t="s">
        <v>22</v>
      </c>
      <c r="C16" s="4"/>
      <c r="E16" s="26" t="s">
        <v>23</v>
      </c>
      <c r="F16" s="4"/>
    </row>
    <row r="17" ht="36.0" customHeight="1">
      <c r="A17" s="1"/>
      <c r="B17" s="22" t="s">
        <v>24</v>
      </c>
      <c r="C17" s="23">
        <v>23000.0</v>
      </c>
      <c r="E17" s="27" t="s">
        <v>25</v>
      </c>
      <c r="F17" s="28">
        <v>0.0</v>
      </c>
    </row>
    <row r="18" ht="36.0" customHeight="1">
      <c r="A18" s="1"/>
      <c r="B18" s="25" t="s">
        <v>26</v>
      </c>
      <c r="C18" s="23">
        <v>3600.0</v>
      </c>
      <c r="D18" s="24" t="s">
        <v>27</v>
      </c>
      <c r="E18" s="9" t="s">
        <v>28</v>
      </c>
      <c r="F18" s="29">
        <f>F17-C32</f>
        <v>-40600</v>
      </c>
    </row>
    <row r="19" ht="37.5" customHeight="1">
      <c r="A19" s="1"/>
      <c r="B19" s="22" t="s">
        <v>29</v>
      </c>
      <c r="C19" s="30">
        <v>0.0</v>
      </c>
      <c r="D19" s="24" t="s">
        <v>27</v>
      </c>
      <c r="E19" s="31" t="str">
        <f>IF(F17=0,"← Ingresa tu precio actual",IF(F18&lt;0,"🔴 Estás perdiendo dinero en cada venta",IF(F17&lt;C32/(1-0.4),"🟡 Margen menor al 40% — considera subir precio",IF(F17&lt;C32/(1-0.5),"🟢 Margen entre 40% y 50% — bien","✅ Excelente — margen superior al 50%"))))</f>
        <v>← Ingresa tu precio actual</v>
      </c>
      <c r="F19" s="32"/>
    </row>
    <row r="20" ht="25.5" customHeight="1">
      <c r="A20" s="1"/>
      <c r="B20" s="19" t="s">
        <v>30</v>
      </c>
      <c r="C20" s="4"/>
    </row>
    <row r="21" ht="18.0" customHeight="1">
      <c r="A21" s="1"/>
      <c r="B21" s="33" t="s">
        <v>31</v>
      </c>
      <c r="C21" s="11"/>
      <c r="D21" s="11"/>
      <c r="E21" s="11"/>
      <c r="F21" s="12"/>
    </row>
    <row r="22" ht="27.75" customHeight="1">
      <c r="A22" s="1"/>
      <c r="B22" s="25" t="s">
        <v>32</v>
      </c>
      <c r="C22" s="30">
        <v>0.0</v>
      </c>
      <c r="D22" s="24" t="s">
        <v>33</v>
      </c>
    </row>
    <row r="23" ht="27.75" customHeight="1">
      <c r="A23" s="1"/>
      <c r="B23" s="22" t="s">
        <v>34</v>
      </c>
      <c r="C23" s="30">
        <v>0.0</v>
      </c>
      <c r="D23" s="24" t="s">
        <v>33</v>
      </c>
    </row>
    <row r="24" ht="25.5" customHeight="1">
      <c r="A24" s="1"/>
      <c r="B24" s="19" t="s">
        <v>35</v>
      </c>
      <c r="C24" s="4"/>
    </row>
    <row r="25" ht="27.75" customHeight="1">
      <c r="A25" s="1"/>
      <c r="B25" s="22" t="s">
        <v>36</v>
      </c>
      <c r="C25" s="30">
        <v>0.0</v>
      </c>
    </row>
    <row r="26" ht="27.75" customHeight="1">
      <c r="A26" s="1"/>
      <c r="B26" s="25" t="s">
        <v>37</v>
      </c>
      <c r="C26" s="30">
        <v>0.0</v>
      </c>
      <c r="D26" s="24" t="s">
        <v>38</v>
      </c>
    </row>
    <row r="27" ht="27.75" customHeight="1">
      <c r="A27" s="1"/>
      <c r="B27" s="22" t="s">
        <v>39</v>
      </c>
      <c r="C27" s="30">
        <v>0.0</v>
      </c>
      <c r="D27" s="24" t="s">
        <v>40</v>
      </c>
    </row>
    <row r="28" ht="25.5" customHeight="1">
      <c r="A28" s="1"/>
      <c r="B28" s="19" t="s">
        <v>41</v>
      </c>
      <c r="C28" s="4"/>
    </row>
    <row r="29" ht="27.75" customHeight="1">
      <c r="A29" s="1"/>
      <c r="B29" s="22" t="s">
        <v>42</v>
      </c>
      <c r="C29" s="30">
        <v>0.0</v>
      </c>
    </row>
    <row r="30" ht="27.75" customHeight="1">
      <c r="A30" s="1"/>
      <c r="B30" s="25" t="s">
        <v>43</v>
      </c>
      <c r="C30" s="30">
        <v>0.0</v>
      </c>
    </row>
    <row r="31" ht="3.75" customHeight="1">
      <c r="A31" s="1"/>
      <c r="B31" s="14"/>
      <c r="C31" s="14"/>
      <c r="D31" s="14"/>
      <c r="E31" s="14"/>
      <c r="F31" s="14"/>
    </row>
    <row r="32" ht="37.5" customHeight="1">
      <c r="A32" s="1"/>
      <c r="B32" s="34" t="s">
        <v>44</v>
      </c>
      <c r="C32" s="35">
        <f>C11+C12+C13+C14+C15+C17+C18+C19+C21+C22+C23+C25+C26+C27+C29+C30</f>
        <v>40600</v>
      </c>
      <c r="D32" s="1"/>
    </row>
    <row r="33" ht="15.75" customHeight="1">
      <c r="A33" s="1"/>
    </row>
    <row r="34" ht="15.75" customHeight="1">
      <c r="A34" s="1"/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">
    <mergeCell ref="E16:F16"/>
    <mergeCell ref="E19:F19"/>
    <mergeCell ref="B20:C20"/>
    <mergeCell ref="B21:F21"/>
    <mergeCell ref="B24:C24"/>
    <mergeCell ref="B28:C28"/>
    <mergeCell ref="B1:F1"/>
    <mergeCell ref="B2:F2"/>
    <mergeCell ref="B3:F3"/>
    <mergeCell ref="E5:F5"/>
    <mergeCell ref="C6:F6"/>
    <mergeCell ref="B10:C10"/>
    <mergeCell ref="B16:C16"/>
  </mergeCells>
  <conditionalFormatting sqref="F18">
    <cfRule type="cellIs" dxfId="0" priority="1" operator="lessThan">
      <formula>0</formula>
    </cfRule>
  </conditionalFormatting>
  <conditionalFormatting sqref="F18">
    <cfRule type="cellIs" dxfId="1" priority="2" operator="greaterThanOrEqual">
      <formula>0</formula>
    </cfRule>
  </conditionalFormatting>
  <conditionalFormatting sqref="E19:F19">
    <cfRule type="expression" dxfId="2" priority="3">
      <formula>F18&lt;0</formula>
    </cfRule>
  </conditionalFormatting>
  <conditionalFormatting sqref="E19:F19">
    <cfRule type="expression" dxfId="2" priority="4">
      <formula>F18&lt;0</formula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9D9D9"/>
    <pageSetUpPr/>
  </sheetPr>
  <sheetViews>
    <sheetView showGridLines="0" workbookViewId="0">
      <pane xSplit="1.0" ySplit="5.0" topLeftCell="B6" activePane="bottomRight" state="frozen"/>
      <selection activeCell="B1" sqref="B1" pane="topRight"/>
      <selection activeCell="A6" sqref="A6" pane="bottomLeft"/>
      <selection activeCell="B6" sqref="B6" pane="bottomRight"/>
    </sheetView>
  </sheetViews>
  <sheetFormatPr customHeight="1" defaultColWidth="14.43" defaultRowHeight="15.0"/>
  <cols>
    <col customWidth="1" min="1" max="1" width="2.0"/>
    <col customWidth="1" min="2" max="2" width="30.0"/>
    <col customWidth="1" min="3" max="3" width="18.0"/>
    <col customWidth="1" min="4" max="4" width="3.0"/>
    <col customWidth="1" min="5" max="5" width="28.0"/>
    <col customWidth="1" min="6" max="6" width="23.43"/>
    <col customWidth="1" min="7" max="26" width="8.71"/>
  </cols>
  <sheetData>
    <row r="1" ht="12.0" customHeight="1">
      <c r="A1" s="1"/>
    </row>
    <row r="2" ht="51.75" customHeight="1">
      <c r="A2" s="1"/>
      <c r="B2" s="36" t="s">
        <v>45</v>
      </c>
      <c r="C2" s="3"/>
      <c r="D2" s="3"/>
      <c r="E2" s="3"/>
      <c r="F2" s="4"/>
    </row>
    <row r="3" ht="24.0" customHeight="1">
      <c r="A3" s="1"/>
      <c r="B3" s="37" t="s">
        <v>46</v>
      </c>
      <c r="C3" s="3"/>
      <c r="D3" s="3"/>
      <c r="E3" s="3"/>
      <c r="F3" s="4"/>
    </row>
    <row r="4" ht="3.75" customHeight="1">
      <c r="A4" s="1"/>
      <c r="B4" s="7"/>
      <c r="C4" s="7"/>
      <c r="D4" s="7"/>
      <c r="E4" s="7"/>
      <c r="F4" s="7"/>
    </row>
    <row r="5" ht="27.75" customHeight="1">
      <c r="A5" s="1"/>
      <c r="B5" s="19" t="s">
        <v>47</v>
      </c>
      <c r="C5" s="4"/>
      <c r="E5" s="8" t="s">
        <v>2</v>
      </c>
      <c r="F5" s="4"/>
    </row>
    <row r="6" ht="30.0" customHeight="1">
      <c r="A6" s="1"/>
      <c r="E6" s="38" t="s">
        <v>48</v>
      </c>
      <c r="F6" s="39" t="str">
        <f>IFERROR(CEILING(C14/C21,1),"Revisa datos")</f>
        <v>Revisa datos</v>
      </c>
    </row>
    <row r="7" ht="30.0" customHeight="1">
      <c r="A7" s="1"/>
      <c r="B7" s="22" t="s">
        <v>49</v>
      </c>
      <c r="C7" s="30">
        <v>0.0</v>
      </c>
      <c r="E7" s="17" t="s">
        <v>50</v>
      </c>
      <c r="F7" s="18" t="str">
        <f>IFERROR(CEILING(C14/C21,1)*C18,"—")</f>
        <v>—</v>
      </c>
    </row>
    <row r="8" ht="30.0" customHeight="1">
      <c r="A8" s="1"/>
      <c r="B8" s="25" t="s">
        <v>51</v>
      </c>
      <c r="C8" s="30">
        <v>0.0</v>
      </c>
      <c r="E8" s="20" t="s">
        <v>52</v>
      </c>
      <c r="F8" s="40" t="str">
        <f>IFERROR(CEILING(C14/C21,1)/10,"—")</f>
        <v>—</v>
      </c>
    </row>
    <row r="9" ht="30.0" customHeight="1">
      <c r="A9" s="1"/>
      <c r="B9" s="22" t="s">
        <v>53</v>
      </c>
      <c r="C9" s="30">
        <v>0.0</v>
      </c>
      <c r="E9" s="17" t="s">
        <v>54</v>
      </c>
      <c r="F9" s="41" t="str">
        <f>IFERROR(CEILING(C14/C21,1)/20,"—")</f>
        <v>—</v>
      </c>
    </row>
    <row r="10" ht="30.0" customHeight="1">
      <c r="A10" s="1"/>
      <c r="B10" s="25" t="s">
        <v>55</v>
      </c>
      <c r="C10" s="30">
        <v>0.0</v>
      </c>
      <c r="E10" s="20" t="s">
        <v>56</v>
      </c>
      <c r="F10" s="21" t="str">
        <f>IFERROR(2*CEILING(C14/C21,1)*C21-C14,"—")</f>
        <v>—</v>
      </c>
    </row>
    <row r="11" ht="27.75" customHeight="1">
      <c r="A11" s="1"/>
      <c r="B11" s="22" t="s">
        <v>57</v>
      </c>
      <c r="C11" s="30">
        <v>0.0</v>
      </c>
    </row>
    <row r="12" ht="27.75" customHeight="1">
      <c r="A12" s="1"/>
      <c r="B12" s="25" t="s">
        <v>58</v>
      </c>
      <c r="C12" s="30">
        <v>0.0</v>
      </c>
    </row>
    <row r="13" ht="27.75" customHeight="1">
      <c r="A13" s="1"/>
      <c r="B13" s="22" t="s">
        <v>59</v>
      </c>
      <c r="C13" s="30">
        <v>0.0</v>
      </c>
    </row>
    <row r="14" ht="37.5" customHeight="1">
      <c r="A14" s="1"/>
      <c r="B14" s="34" t="s">
        <v>60</v>
      </c>
      <c r="C14" s="35">
        <f>C7+C8+C9+C10+C11+C12+C13</f>
        <v>0</v>
      </c>
    </row>
    <row r="15" ht="3.75" customHeight="1">
      <c r="A15" s="1"/>
      <c r="B15" s="14"/>
      <c r="C15" s="14"/>
      <c r="D15" s="14"/>
      <c r="E15" s="14"/>
      <c r="F15" s="14"/>
    </row>
    <row r="16" ht="25.5" customHeight="1">
      <c r="A16" s="1"/>
      <c r="B16" s="19" t="s">
        <v>61</v>
      </c>
      <c r="C16" s="4"/>
    </row>
    <row r="17" ht="27.75" customHeight="1">
      <c r="A17" s="1"/>
      <c r="B17" s="22" t="s">
        <v>62</v>
      </c>
      <c r="C17" s="30">
        <v>0.0</v>
      </c>
    </row>
    <row r="18" ht="27.75" customHeight="1">
      <c r="A18" s="1"/>
      <c r="B18" s="25" t="s">
        <v>63</v>
      </c>
      <c r="C18" s="30">
        <v>0.0</v>
      </c>
    </row>
    <row r="19" ht="27.75" customHeight="1">
      <c r="A19" s="1"/>
      <c r="B19" s="22" t="s">
        <v>64</v>
      </c>
      <c r="C19" s="42">
        <v>0.05</v>
      </c>
    </row>
    <row r="20" ht="25.5" customHeight="1">
      <c r="A20" s="1"/>
      <c r="B20" s="25" t="s">
        <v>65</v>
      </c>
      <c r="C20" s="43">
        <f>C18*(1-C19)</f>
        <v>0</v>
      </c>
    </row>
    <row r="21" ht="25.5" customHeight="1">
      <c r="A21" s="1"/>
      <c r="B21" s="22" t="s">
        <v>66</v>
      </c>
      <c r="C21" s="44">
        <f>C20-C17</f>
        <v>0</v>
      </c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2:F2"/>
    <mergeCell ref="B3:F3"/>
    <mergeCell ref="B5:C5"/>
    <mergeCell ref="E5:F5"/>
    <mergeCell ref="B16:C16"/>
  </mergeCell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9F0C7"/>
    <pageSetUpPr/>
  </sheetPr>
  <sheetViews>
    <sheetView showGridLines="0" workbookViewId="0">
      <pane xSplit="2.0" ySplit="5.0" topLeftCell="C6" activePane="bottomRight" state="frozen"/>
      <selection activeCell="C1" sqref="C1" pane="topRight"/>
      <selection activeCell="A6" sqref="A6" pane="bottomLeft"/>
      <selection activeCell="C6" sqref="C6" pane="bottomRight"/>
    </sheetView>
  </sheetViews>
  <sheetFormatPr customHeight="1" defaultColWidth="14.43" defaultRowHeight="15.0"/>
  <cols>
    <col customWidth="1" min="1" max="1" width="2.0"/>
    <col customWidth="1" min="2" max="2" width="4.0"/>
    <col customWidth="1" min="3" max="3" width="24.0"/>
    <col customWidth="1" min="4" max="5" width="14.0"/>
    <col customWidth="1" min="6" max="6" width="10.0"/>
    <col customWidth="1" min="7" max="7" width="14.0"/>
    <col customWidth="1" min="8" max="8" width="16.0"/>
    <col customWidth="1" min="9" max="26" width="8.71"/>
  </cols>
  <sheetData>
    <row r="1" ht="12.0" customHeight="1">
      <c r="A1" s="1"/>
    </row>
    <row r="2" ht="51.75" customHeight="1">
      <c r="A2" s="1"/>
      <c r="B2" s="36" t="s">
        <v>67</v>
      </c>
      <c r="C2" s="3"/>
      <c r="D2" s="3"/>
      <c r="E2" s="3"/>
      <c r="F2" s="3"/>
      <c r="G2" s="3"/>
      <c r="H2" s="4"/>
    </row>
    <row r="3" ht="24.0" customHeight="1">
      <c r="A3" s="1"/>
      <c r="B3" s="37" t="s">
        <v>68</v>
      </c>
      <c r="C3" s="3"/>
      <c r="D3" s="3"/>
      <c r="E3" s="3"/>
      <c r="F3" s="3"/>
      <c r="G3" s="3"/>
      <c r="H3" s="4"/>
    </row>
    <row r="4" ht="3.75" customHeight="1">
      <c r="A4" s="1"/>
      <c r="B4" s="7"/>
      <c r="C4" s="7"/>
      <c r="D4" s="7"/>
      <c r="E4" s="7"/>
      <c r="F4" s="7"/>
      <c r="G4" s="7"/>
      <c r="H4" s="7"/>
    </row>
    <row r="5" ht="31.5" customHeight="1">
      <c r="A5" s="45"/>
      <c r="B5" s="16" t="s">
        <v>69</v>
      </c>
      <c r="C5" s="16" t="s">
        <v>70</v>
      </c>
      <c r="D5" s="16" t="s">
        <v>71</v>
      </c>
      <c r="E5" s="16" t="s">
        <v>72</v>
      </c>
      <c r="F5" s="16" t="s">
        <v>73</v>
      </c>
      <c r="G5" s="16" t="s">
        <v>74</v>
      </c>
      <c r="H5" s="16" t="s">
        <v>75</v>
      </c>
    </row>
    <row r="6" ht="25.5" customHeight="1">
      <c r="A6" s="1"/>
      <c r="B6" s="46">
        <v>1.0</v>
      </c>
      <c r="C6" s="47" t="s">
        <v>76</v>
      </c>
      <c r="D6" s="48">
        <v>0.0</v>
      </c>
      <c r="E6" s="48">
        <v>0.0</v>
      </c>
      <c r="F6" s="49" t="str">
        <f t="shared" ref="F6:F25" si="1">IFERROR(IF(E6=0,"",(E6-D6)/E6),"")</f>
        <v/>
      </c>
      <c r="G6" s="50" t="str">
        <f t="shared" ref="G6:G25" si="2">IFERROR(IF(E6=0,"",E6-D6),"")</f>
        <v/>
      </c>
      <c r="H6" s="51" t="str">
        <f t="shared" ref="H6:H25" si="3">IFERROR(IF(E6=0,"—",IF(F6&lt;0,"🔴 Pérdida",IF(F6&lt;0.3,"🟡 Margen bajo",IF(F6&lt;0.5,"🟢 OK","⭐ Excelente")))),"—")</f>
        <v>—</v>
      </c>
    </row>
    <row r="7" ht="25.5" customHeight="1">
      <c r="A7" s="1"/>
      <c r="B7" s="52">
        <v>2.0</v>
      </c>
      <c r="C7" s="47" t="s">
        <v>77</v>
      </c>
      <c r="D7" s="48">
        <v>0.0</v>
      </c>
      <c r="E7" s="48">
        <v>0.0</v>
      </c>
      <c r="F7" s="53" t="str">
        <f t="shared" si="1"/>
        <v/>
      </c>
      <c r="G7" s="54" t="str">
        <f t="shared" si="2"/>
        <v/>
      </c>
      <c r="H7" s="55" t="str">
        <f t="shared" si="3"/>
        <v>—</v>
      </c>
    </row>
    <row r="8" ht="25.5" customHeight="1">
      <c r="A8" s="1"/>
      <c r="B8" s="46">
        <v>3.0</v>
      </c>
      <c r="C8" s="47" t="s">
        <v>78</v>
      </c>
      <c r="D8" s="48">
        <v>0.0</v>
      </c>
      <c r="E8" s="48">
        <v>0.0</v>
      </c>
      <c r="F8" s="49" t="str">
        <f t="shared" si="1"/>
        <v/>
      </c>
      <c r="G8" s="50" t="str">
        <f t="shared" si="2"/>
        <v/>
      </c>
      <c r="H8" s="51" t="str">
        <f t="shared" si="3"/>
        <v>—</v>
      </c>
    </row>
    <row r="9" ht="25.5" customHeight="1">
      <c r="A9" s="1"/>
      <c r="B9" s="52">
        <v>4.0</v>
      </c>
      <c r="C9" s="56"/>
      <c r="D9" s="57"/>
      <c r="E9" s="57"/>
      <c r="F9" s="53" t="str">
        <f t="shared" si="1"/>
        <v/>
      </c>
      <c r="G9" s="54" t="str">
        <f t="shared" si="2"/>
        <v/>
      </c>
      <c r="H9" s="55" t="str">
        <f t="shared" si="3"/>
        <v>—</v>
      </c>
    </row>
    <row r="10" ht="25.5" customHeight="1">
      <c r="A10" s="1"/>
      <c r="B10" s="46">
        <v>5.0</v>
      </c>
      <c r="C10" s="58"/>
      <c r="D10" s="59"/>
      <c r="E10" s="59"/>
      <c r="F10" s="49" t="str">
        <f t="shared" si="1"/>
        <v/>
      </c>
      <c r="G10" s="50" t="str">
        <f t="shared" si="2"/>
        <v/>
      </c>
      <c r="H10" s="51" t="str">
        <f t="shared" si="3"/>
        <v>—</v>
      </c>
    </row>
    <row r="11" ht="25.5" customHeight="1">
      <c r="A11" s="1"/>
      <c r="B11" s="52">
        <v>6.0</v>
      </c>
      <c r="C11" s="56"/>
      <c r="D11" s="57"/>
      <c r="E11" s="57"/>
      <c r="F11" s="53" t="str">
        <f t="shared" si="1"/>
        <v/>
      </c>
      <c r="G11" s="54" t="str">
        <f t="shared" si="2"/>
        <v/>
      </c>
      <c r="H11" s="55" t="str">
        <f t="shared" si="3"/>
        <v>—</v>
      </c>
    </row>
    <row r="12" ht="25.5" customHeight="1">
      <c r="A12" s="1"/>
      <c r="B12" s="46">
        <v>7.0</v>
      </c>
      <c r="C12" s="58"/>
      <c r="D12" s="59"/>
      <c r="E12" s="59"/>
      <c r="F12" s="49" t="str">
        <f t="shared" si="1"/>
        <v/>
      </c>
      <c r="G12" s="50" t="str">
        <f t="shared" si="2"/>
        <v/>
      </c>
      <c r="H12" s="51" t="str">
        <f t="shared" si="3"/>
        <v>—</v>
      </c>
    </row>
    <row r="13" ht="25.5" customHeight="1">
      <c r="A13" s="1"/>
      <c r="B13" s="52">
        <v>8.0</v>
      </c>
      <c r="C13" s="56"/>
      <c r="D13" s="57"/>
      <c r="E13" s="57"/>
      <c r="F13" s="53" t="str">
        <f t="shared" si="1"/>
        <v/>
      </c>
      <c r="G13" s="54" t="str">
        <f t="shared" si="2"/>
        <v/>
      </c>
      <c r="H13" s="55" t="str">
        <f t="shared" si="3"/>
        <v>—</v>
      </c>
    </row>
    <row r="14" ht="25.5" customHeight="1">
      <c r="A14" s="1"/>
      <c r="B14" s="46">
        <v>9.0</v>
      </c>
      <c r="C14" s="58"/>
      <c r="D14" s="59"/>
      <c r="E14" s="59"/>
      <c r="F14" s="49" t="str">
        <f t="shared" si="1"/>
        <v/>
      </c>
      <c r="G14" s="50" t="str">
        <f t="shared" si="2"/>
        <v/>
      </c>
      <c r="H14" s="51" t="str">
        <f t="shared" si="3"/>
        <v>—</v>
      </c>
    </row>
    <row r="15" ht="25.5" customHeight="1">
      <c r="A15" s="1"/>
      <c r="B15" s="52">
        <v>10.0</v>
      </c>
      <c r="C15" s="56"/>
      <c r="D15" s="57"/>
      <c r="E15" s="57"/>
      <c r="F15" s="53" t="str">
        <f t="shared" si="1"/>
        <v/>
      </c>
      <c r="G15" s="54" t="str">
        <f t="shared" si="2"/>
        <v/>
      </c>
      <c r="H15" s="55" t="str">
        <f t="shared" si="3"/>
        <v>—</v>
      </c>
    </row>
    <row r="16" ht="25.5" customHeight="1">
      <c r="A16" s="1"/>
      <c r="B16" s="46">
        <v>11.0</v>
      </c>
      <c r="C16" s="58"/>
      <c r="D16" s="59"/>
      <c r="E16" s="59"/>
      <c r="F16" s="49" t="str">
        <f t="shared" si="1"/>
        <v/>
      </c>
      <c r="G16" s="50" t="str">
        <f t="shared" si="2"/>
        <v/>
      </c>
      <c r="H16" s="51" t="str">
        <f t="shared" si="3"/>
        <v>—</v>
      </c>
    </row>
    <row r="17" ht="25.5" customHeight="1">
      <c r="A17" s="1"/>
      <c r="B17" s="52">
        <v>12.0</v>
      </c>
      <c r="C17" s="56"/>
      <c r="D17" s="57"/>
      <c r="E17" s="57"/>
      <c r="F17" s="53" t="str">
        <f t="shared" si="1"/>
        <v/>
      </c>
      <c r="G17" s="54" t="str">
        <f t="shared" si="2"/>
        <v/>
      </c>
      <c r="H17" s="55" t="str">
        <f t="shared" si="3"/>
        <v>—</v>
      </c>
    </row>
    <row r="18" ht="25.5" customHeight="1">
      <c r="A18" s="1"/>
      <c r="B18" s="46">
        <v>13.0</v>
      </c>
      <c r="C18" s="58"/>
      <c r="D18" s="59"/>
      <c r="E18" s="59"/>
      <c r="F18" s="49" t="str">
        <f t="shared" si="1"/>
        <v/>
      </c>
      <c r="G18" s="50" t="str">
        <f t="shared" si="2"/>
        <v/>
      </c>
      <c r="H18" s="51" t="str">
        <f t="shared" si="3"/>
        <v>—</v>
      </c>
    </row>
    <row r="19" ht="25.5" customHeight="1">
      <c r="A19" s="1"/>
      <c r="B19" s="52">
        <v>14.0</v>
      </c>
      <c r="C19" s="56"/>
      <c r="D19" s="57"/>
      <c r="E19" s="57"/>
      <c r="F19" s="53" t="str">
        <f t="shared" si="1"/>
        <v/>
      </c>
      <c r="G19" s="54" t="str">
        <f t="shared" si="2"/>
        <v/>
      </c>
      <c r="H19" s="55" t="str">
        <f t="shared" si="3"/>
        <v>—</v>
      </c>
    </row>
    <row r="20" ht="25.5" customHeight="1">
      <c r="A20" s="1"/>
      <c r="B20" s="46">
        <v>15.0</v>
      </c>
      <c r="C20" s="58"/>
      <c r="D20" s="59"/>
      <c r="E20" s="59"/>
      <c r="F20" s="49" t="str">
        <f t="shared" si="1"/>
        <v/>
      </c>
      <c r="G20" s="50" t="str">
        <f t="shared" si="2"/>
        <v/>
      </c>
      <c r="H20" s="51" t="str">
        <f t="shared" si="3"/>
        <v>—</v>
      </c>
    </row>
    <row r="21" ht="25.5" customHeight="1">
      <c r="A21" s="1"/>
      <c r="B21" s="52">
        <v>16.0</v>
      </c>
      <c r="C21" s="56"/>
      <c r="D21" s="57"/>
      <c r="E21" s="57"/>
      <c r="F21" s="53" t="str">
        <f t="shared" si="1"/>
        <v/>
      </c>
      <c r="G21" s="54" t="str">
        <f t="shared" si="2"/>
        <v/>
      </c>
      <c r="H21" s="55" t="str">
        <f t="shared" si="3"/>
        <v>—</v>
      </c>
    </row>
    <row r="22" ht="25.5" customHeight="1">
      <c r="A22" s="1"/>
      <c r="B22" s="46">
        <v>17.0</v>
      </c>
      <c r="C22" s="58"/>
      <c r="D22" s="59"/>
      <c r="E22" s="59"/>
      <c r="F22" s="49" t="str">
        <f t="shared" si="1"/>
        <v/>
      </c>
      <c r="G22" s="50" t="str">
        <f t="shared" si="2"/>
        <v/>
      </c>
      <c r="H22" s="51" t="str">
        <f t="shared" si="3"/>
        <v>—</v>
      </c>
    </row>
    <row r="23" ht="25.5" customHeight="1">
      <c r="A23" s="1"/>
      <c r="B23" s="52">
        <v>18.0</v>
      </c>
      <c r="C23" s="56"/>
      <c r="D23" s="57"/>
      <c r="E23" s="57"/>
      <c r="F23" s="53" t="str">
        <f t="shared" si="1"/>
        <v/>
      </c>
      <c r="G23" s="54" t="str">
        <f t="shared" si="2"/>
        <v/>
      </c>
      <c r="H23" s="55" t="str">
        <f t="shared" si="3"/>
        <v>—</v>
      </c>
    </row>
    <row r="24" ht="25.5" customHeight="1">
      <c r="A24" s="1"/>
      <c r="B24" s="46">
        <v>19.0</v>
      </c>
      <c r="C24" s="58"/>
      <c r="D24" s="59"/>
      <c r="E24" s="59"/>
      <c r="F24" s="49" t="str">
        <f t="shared" si="1"/>
        <v/>
      </c>
      <c r="G24" s="50" t="str">
        <f t="shared" si="2"/>
        <v/>
      </c>
      <c r="H24" s="51" t="str">
        <f t="shared" si="3"/>
        <v>—</v>
      </c>
    </row>
    <row r="25" ht="3.75" customHeight="1">
      <c r="A25" s="1"/>
      <c r="B25" s="60">
        <v>20.0</v>
      </c>
      <c r="C25" s="61"/>
      <c r="D25" s="62"/>
      <c r="E25" s="62"/>
      <c r="F25" s="63" t="str">
        <f t="shared" si="1"/>
        <v/>
      </c>
      <c r="G25" s="64" t="str">
        <f t="shared" si="2"/>
        <v/>
      </c>
      <c r="H25" s="65" t="str">
        <f t="shared" si="3"/>
        <v>—</v>
      </c>
    </row>
    <row r="26" ht="33.75" customHeight="1">
      <c r="A26" s="1"/>
      <c r="B26" s="14"/>
      <c r="C26" s="66" t="s">
        <v>79</v>
      </c>
      <c r="D26" s="67">
        <f t="shared" ref="D26:E26" si="4">SUMIF(D6:D25,"&gt;0")</f>
        <v>0</v>
      </c>
      <c r="E26" s="67">
        <f t="shared" si="4"/>
        <v>0</v>
      </c>
      <c r="F26" s="68">
        <f>IFERROR(AVERAGEIF(F6:F25,"&gt;0"),0)</f>
        <v>0</v>
      </c>
      <c r="G26" s="67">
        <f>SUMIF(G6:G25,"&gt;0")</f>
        <v>0</v>
      </c>
      <c r="H26" s="14"/>
    </row>
    <row r="27" ht="3.75" customHeight="1">
      <c r="A27" s="1"/>
      <c r="B27" s="7"/>
      <c r="C27" s="7"/>
      <c r="D27" s="7"/>
      <c r="E27" s="7"/>
      <c r="F27" s="7"/>
      <c r="G27" s="7"/>
      <c r="H27" s="7"/>
    </row>
    <row r="28" ht="27.75" customHeight="1">
      <c r="A28" s="1"/>
      <c r="B28" s="7"/>
      <c r="C28" s="69" t="s">
        <v>80</v>
      </c>
      <c r="D28" s="3"/>
      <c r="E28" s="3"/>
      <c r="F28" s="3"/>
      <c r="G28" s="3"/>
      <c r="H28" s="4"/>
    </row>
    <row r="29" ht="25.5" customHeight="1">
      <c r="A29" s="1"/>
      <c r="B29" s="70"/>
      <c r="C29" s="22" t="s">
        <v>81</v>
      </c>
      <c r="D29" s="71" t="str">
        <f t="array" ref="D29">IFERROR(INDEX(C6:C25,MATCH(MAX(G6:G25),G6:G25,0)),"—")</f>
        <v>—</v>
      </c>
      <c r="E29" s="11"/>
      <c r="F29" s="11"/>
      <c r="G29" s="11"/>
      <c r="H29" s="32"/>
    </row>
    <row r="30" ht="25.5" customHeight="1">
      <c r="A30" s="1"/>
      <c r="B30" s="1"/>
      <c r="C30" s="25" t="s">
        <v>82</v>
      </c>
      <c r="D30" s="72">
        <f>COUNTIF(F6:F25,"&lt;0")</f>
        <v>0</v>
      </c>
      <c r="E30" s="11"/>
      <c r="F30" s="11"/>
      <c r="G30" s="11"/>
      <c r="H30" s="32"/>
    </row>
    <row r="31" ht="25.5" customHeight="1">
      <c r="A31" s="1"/>
      <c r="B31" s="70"/>
      <c r="C31" s="22" t="s">
        <v>83</v>
      </c>
      <c r="D31" s="73">
        <f>COUNTIF(F6:F25,"&gt;0.5")</f>
        <v>0</v>
      </c>
      <c r="E31" s="11"/>
      <c r="F31" s="11"/>
      <c r="G31" s="11"/>
      <c r="H31" s="32"/>
    </row>
    <row r="32" ht="25.5" customHeight="1">
      <c r="A32" s="1"/>
      <c r="B32" s="1"/>
      <c r="C32" s="25" t="s">
        <v>84</v>
      </c>
      <c r="D32" s="74">
        <f>G26</f>
        <v>0</v>
      </c>
      <c r="E32" s="11"/>
      <c r="F32" s="11"/>
      <c r="G32" s="11"/>
      <c r="H32" s="32"/>
    </row>
    <row r="33" ht="15.75" customHeight="1">
      <c r="A33" s="1"/>
    </row>
    <row r="34" ht="15.75" customHeight="1">
      <c r="A34" s="1"/>
    </row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B2:H2"/>
    <mergeCell ref="B3:H3"/>
    <mergeCell ref="C28:H28"/>
    <mergeCell ref="D29:H29"/>
    <mergeCell ref="D30:H30"/>
    <mergeCell ref="D31:H31"/>
    <mergeCell ref="D32:H32"/>
  </mergeCells>
  <conditionalFormatting sqref="F6:F25">
    <cfRule type="cellIs" dxfId="3" priority="1" operator="lessThan">
      <formula>0</formula>
    </cfRule>
  </conditionalFormatting>
  <conditionalFormatting sqref="F6:F25">
    <cfRule type="cellIs" dxfId="4" priority="2" operator="between">
      <formula>0</formula>
      <formula>0.3</formula>
    </cfRule>
  </conditionalFormatting>
  <conditionalFormatting sqref="F6:F25">
    <cfRule type="cellIs" dxfId="5" priority="3" operator="greaterThanOrEqual">
      <formula>0.5</formula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D2D2D"/>
    <pageSetUpPr/>
  </sheetPr>
  <sheetViews>
    <sheetView showGridLines="0"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4.43" defaultRowHeight="15.0"/>
  <cols>
    <col customWidth="1" min="1" max="1" width="2.0"/>
    <col customWidth="1" min="2" max="8" width="16.0"/>
    <col customWidth="1" min="9" max="26" width="8.71"/>
  </cols>
  <sheetData>
    <row r="1" ht="12.0" customHeight="1">
      <c r="A1" s="1"/>
    </row>
    <row r="2" ht="51.75" customHeight="1">
      <c r="A2" s="1"/>
      <c r="B2" s="75" t="s">
        <v>85</v>
      </c>
      <c r="C2" s="3"/>
      <c r="D2" s="3"/>
      <c r="E2" s="3"/>
      <c r="F2" s="3"/>
      <c r="G2" s="3"/>
      <c r="H2" s="4"/>
    </row>
    <row r="3" ht="24.0" customHeight="1">
      <c r="A3" s="1"/>
      <c r="B3" s="37" t="s">
        <v>86</v>
      </c>
      <c r="C3" s="3"/>
      <c r="D3" s="3"/>
      <c r="E3" s="3"/>
      <c r="F3" s="3"/>
      <c r="G3" s="3"/>
      <c r="H3" s="4"/>
    </row>
    <row r="4" ht="3.75" customHeight="1">
      <c r="A4" s="1"/>
      <c r="B4" s="7"/>
      <c r="C4" s="7"/>
      <c r="D4" s="7"/>
      <c r="E4" s="7"/>
      <c r="F4" s="7"/>
      <c r="G4" s="7"/>
      <c r="H4" s="7"/>
    </row>
    <row r="5" ht="27.75" customHeight="1">
      <c r="A5" s="1"/>
      <c r="B5" s="76" t="s">
        <v>87</v>
      </c>
      <c r="C5" s="32"/>
      <c r="D5" s="77" t="s">
        <v>88</v>
      </c>
      <c r="E5" s="32"/>
      <c r="F5" s="76" t="s">
        <v>89</v>
      </c>
      <c r="G5" s="32"/>
      <c r="H5" s="77" t="s">
        <v>90</v>
      </c>
      <c r="I5" s="32"/>
    </row>
    <row r="6" ht="43.5" customHeight="1">
      <c r="A6" s="1"/>
      <c r="B6" s="78">
        <f>IFERROR(AVERAGEIF(Comparador!D6:D25,"&gt;0"),0)</f>
        <v>0</v>
      </c>
      <c r="C6" s="32"/>
      <c r="D6" s="79">
        <f>IFERROR(AVERAGEIF(Comparador!E6:E25,"&gt;0"),0)</f>
        <v>0</v>
      </c>
      <c r="E6" s="32"/>
      <c r="F6" s="80">
        <f>IFERROR(AVERAGEIF(Comparador!F6:F25,"&gt;0"),0)</f>
        <v>0</v>
      </c>
      <c r="G6" s="32"/>
      <c r="H6" s="81">
        <f>COUNTIF(Comparador!F6:F25,"&lt;0")</f>
        <v>0</v>
      </c>
      <c r="I6" s="32"/>
    </row>
    <row r="7" ht="21.75" customHeight="1">
      <c r="A7" s="1"/>
      <c r="B7" s="82"/>
      <c r="C7" s="32"/>
      <c r="D7" s="83"/>
      <c r="E7" s="32"/>
      <c r="F7" s="82"/>
      <c r="G7" s="32"/>
      <c r="H7" s="83"/>
      <c r="I7" s="32"/>
    </row>
    <row r="8" ht="12.0" customHeight="1">
      <c r="A8" s="1"/>
    </row>
    <row r="9" ht="27.75" customHeight="1">
      <c r="A9" s="1"/>
      <c r="B9" s="84" t="s">
        <v>91</v>
      </c>
      <c r="C9" s="3"/>
      <c r="D9" s="3"/>
      <c r="E9" s="3"/>
      <c r="F9" s="3"/>
      <c r="G9" s="3"/>
      <c r="H9" s="4"/>
    </row>
    <row r="10" ht="25.5" customHeight="1">
      <c r="A10" s="45"/>
      <c r="B10" s="16" t="s">
        <v>92</v>
      </c>
      <c r="C10" s="16" t="s">
        <v>93</v>
      </c>
      <c r="D10" s="16" t="s">
        <v>94</v>
      </c>
      <c r="E10" s="16" t="s">
        <v>95</v>
      </c>
      <c r="F10" s="16" t="s">
        <v>96</v>
      </c>
      <c r="G10" s="16" t="s">
        <v>74</v>
      </c>
      <c r="H10" s="16" t="s">
        <v>75</v>
      </c>
    </row>
    <row r="11" ht="25.5" customHeight="1">
      <c r="A11" s="1"/>
      <c r="B11" s="85">
        <v>1.0</v>
      </c>
      <c r="C11" s="86" t="str">
        <f t="array" ref="C11">IFERROR(INDEX(Comparador!C6:C25,MATCH(LARGE(Comparador!G6:G25,1),Comparador!G6:G25,0)),"—")</f>
        <v>—</v>
      </c>
      <c r="D11" s="87">
        <f>IFERROR(LARGE(Comparador!D6:D25,1),"—")</f>
        <v>0</v>
      </c>
      <c r="E11" s="87">
        <f>IFERROR(LARGE(Comparador!E6:E25,1),"—")</f>
        <v>0</v>
      </c>
      <c r="F11" s="88" t="str">
        <f>IFERROR(LARGE(Comparador!F6:F25,1),"—")</f>
        <v>—</v>
      </c>
      <c r="G11" s="89" t="str">
        <f>IFERROR(LARGE(Comparador!G6:G25,1),"—")</f>
        <v>—</v>
      </c>
      <c r="H11" s="90" t="s">
        <v>97</v>
      </c>
    </row>
    <row r="12" ht="25.5" customHeight="1">
      <c r="A12" s="1"/>
      <c r="B12" s="85">
        <v>2.0</v>
      </c>
      <c r="C12" s="86" t="str">
        <f t="array" ref="C12">IFERROR(INDEX(Comparador!C6:C25,MATCH(LARGE(Comparador!G6:G25,2),Comparador!G6:G25,0)),"—")</f>
        <v>—</v>
      </c>
      <c r="D12" s="87">
        <f>IFERROR(LARGE(Comparador!D6:D25,2),"—")</f>
        <v>0</v>
      </c>
      <c r="E12" s="87">
        <f>IFERROR(LARGE(Comparador!E6:E25,2),"—")</f>
        <v>0</v>
      </c>
      <c r="F12" s="88" t="str">
        <f>IFERROR(LARGE(Comparador!F6:F25,2),"—")</f>
        <v>—</v>
      </c>
      <c r="G12" s="89" t="str">
        <f>IFERROR(LARGE(Comparador!G6:G25,2),"—")</f>
        <v>—</v>
      </c>
      <c r="H12" s="90" t="s">
        <v>97</v>
      </c>
    </row>
    <row r="13" ht="25.5" customHeight="1">
      <c r="A13" s="1"/>
      <c r="B13" s="85">
        <v>3.0</v>
      </c>
      <c r="C13" s="86" t="str">
        <f t="array" ref="C13">IFERROR(INDEX(Comparador!C6:C25,MATCH(LARGE(Comparador!G6:G25,3),Comparador!G6:G25,0)),"—")</f>
        <v>—</v>
      </c>
      <c r="D13" s="87">
        <f>IFERROR(LARGE(Comparador!D6:D25,3),"—")</f>
        <v>0</v>
      </c>
      <c r="E13" s="87">
        <f>IFERROR(LARGE(Comparador!E6:E25,3),"—")</f>
        <v>0</v>
      </c>
      <c r="F13" s="88" t="str">
        <f>IFERROR(LARGE(Comparador!F6:F25,3),"—")</f>
        <v>—</v>
      </c>
      <c r="G13" s="89" t="str">
        <f>IFERROR(LARGE(Comparador!G6:G25,3),"—")</f>
        <v>—</v>
      </c>
      <c r="H13" s="90" t="s">
        <v>97</v>
      </c>
    </row>
    <row r="14" ht="25.5" customHeight="1">
      <c r="A14" s="1"/>
      <c r="B14" s="91">
        <v>4.0</v>
      </c>
      <c r="C14" s="25" t="str">
        <f t="array" ref="C14">IFERROR(INDEX(Comparador!C6:C25,MATCH(LARGE(Comparador!G6:G25,4),Comparador!G6:G25,0)),"—")</f>
        <v>—</v>
      </c>
      <c r="D14" s="92" t="str">
        <f>IFERROR(LARGE(Comparador!D6:D25,4),"—")</f>
        <v>—</v>
      </c>
      <c r="E14" s="92" t="str">
        <f>IFERROR(LARGE(Comparador!E6:E25,4),"—")</f>
        <v>—</v>
      </c>
      <c r="F14" s="93" t="str">
        <f>IFERROR(LARGE(Comparador!F6:F25,4),"—")</f>
        <v>—</v>
      </c>
      <c r="G14" s="94" t="str">
        <f>IFERROR(LARGE(Comparador!G6:G25,4),"—")</f>
        <v>—</v>
      </c>
      <c r="H14" s="95" t="s">
        <v>98</v>
      </c>
    </row>
    <row r="15" ht="25.5" customHeight="1">
      <c r="A15" s="1"/>
      <c r="B15" s="96">
        <v>5.0</v>
      </c>
      <c r="C15" s="22" t="str">
        <f t="array" ref="C15">IFERROR(INDEX(Comparador!C6:C25,MATCH(LARGE(Comparador!G6:G25,5),Comparador!G6:G25,0)),"—")</f>
        <v>—</v>
      </c>
      <c r="D15" s="97" t="str">
        <f>IFERROR(LARGE(Comparador!D6:D25,5),"—")</f>
        <v>—</v>
      </c>
      <c r="E15" s="97" t="str">
        <f>IFERROR(LARGE(Comparador!E6:E25,5),"—")</f>
        <v>—</v>
      </c>
      <c r="F15" s="98" t="str">
        <f>IFERROR(LARGE(Comparador!F6:F25,5),"—")</f>
        <v>—</v>
      </c>
      <c r="G15" s="99" t="str">
        <f>IFERROR(LARGE(Comparador!G6:G25,5),"—")</f>
        <v>—</v>
      </c>
      <c r="H15" s="100" t="s">
        <v>98</v>
      </c>
    </row>
    <row r="16" ht="25.5" customHeight="1">
      <c r="A16" s="1"/>
      <c r="B16" s="91">
        <v>6.0</v>
      </c>
      <c r="C16" s="25" t="str">
        <f t="array" ref="C16">IFERROR(INDEX(Comparador!C6:C25,MATCH(LARGE(Comparador!G6:G25,6),Comparador!G6:G25,0)),"—")</f>
        <v>—</v>
      </c>
      <c r="D16" s="92" t="str">
        <f>IFERROR(LARGE(Comparador!D6:D25,6),"—")</f>
        <v>—</v>
      </c>
      <c r="E16" s="92" t="str">
        <f>IFERROR(LARGE(Comparador!E6:E25,6),"—")</f>
        <v>—</v>
      </c>
      <c r="F16" s="93" t="str">
        <f>IFERROR(LARGE(Comparador!F6:F25,6),"—")</f>
        <v>—</v>
      </c>
      <c r="G16" s="94" t="str">
        <f>IFERROR(LARGE(Comparador!G6:G25,6),"—")</f>
        <v>—</v>
      </c>
      <c r="H16" s="95" t="s">
        <v>98</v>
      </c>
    </row>
    <row r="17" ht="25.5" customHeight="1">
      <c r="A17" s="1"/>
      <c r="B17" s="96">
        <v>7.0</v>
      </c>
      <c r="C17" s="22" t="str">
        <f t="array" ref="C17">IFERROR(INDEX(Comparador!C6:C25,MATCH(LARGE(Comparador!G6:G25,7),Comparador!G6:G25,0)),"—")</f>
        <v>—</v>
      </c>
      <c r="D17" s="97" t="str">
        <f>IFERROR(LARGE(Comparador!D6:D25,7),"—")</f>
        <v>—</v>
      </c>
      <c r="E17" s="97" t="str">
        <f>IFERROR(LARGE(Comparador!E6:E25,7),"—")</f>
        <v>—</v>
      </c>
      <c r="F17" s="98" t="str">
        <f>IFERROR(LARGE(Comparador!F6:F25,7),"—")</f>
        <v>—</v>
      </c>
      <c r="G17" s="99" t="str">
        <f>IFERROR(LARGE(Comparador!G6:G25,7),"—")</f>
        <v>—</v>
      </c>
      <c r="H17" s="100" t="s">
        <v>99</v>
      </c>
    </row>
    <row r="18" ht="25.5" customHeight="1">
      <c r="A18" s="1"/>
      <c r="B18" s="91">
        <v>8.0</v>
      </c>
      <c r="C18" s="25" t="str">
        <f t="array" ref="C18">IFERROR(INDEX(Comparador!C6:C25,MATCH(LARGE(Comparador!G6:G25,8),Comparador!G6:G25,0)),"—")</f>
        <v>—</v>
      </c>
      <c r="D18" s="92" t="str">
        <f>IFERROR(LARGE(Comparador!D6:D25,8),"—")</f>
        <v>—</v>
      </c>
      <c r="E18" s="92" t="str">
        <f>IFERROR(LARGE(Comparador!E6:E25,8),"—")</f>
        <v>—</v>
      </c>
      <c r="F18" s="93" t="str">
        <f>IFERROR(LARGE(Comparador!F6:F25,8),"—")</f>
        <v>—</v>
      </c>
      <c r="G18" s="94" t="str">
        <f>IFERROR(LARGE(Comparador!G6:G25,8),"—")</f>
        <v>—</v>
      </c>
      <c r="H18" s="95" t="s">
        <v>99</v>
      </c>
    </row>
    <row r="19" ht="3.75" customHeight="1">
      <c r="A19" s="1"/>
      <c r="B19" s="7"/>
      <c r="C19" s="7"/>
      <c r="D19" s="7"/>
      <c r="E19" s="7"/>
      <c r="F19" s="7"/>
      <c r="G19" s="7"/>
      <c r="H19" s="7"/>
    </row>
    <row r="20" ht="27.75" customHeight="1">
      <c r="A20" s="1"/>
      <c r="B20" s="69" t="s">
        <v>100</v>
      </c>
      <c r="C20" s="3"/>
      <c r="D20" s="3"/>
      <c r="E20" s="3"/>
      <c r="F20" s="3"/>
      <c r="G20" s="3"/>
      <c r="H20" s="4"/>
    </row>
    <row r="21" ht="30.0" customHeight="1">
      <c r="A21" s="1"/>
      <c r="B21" s="101" t="s">
        <v>101</v>
      </c>
      <c r="C21" s="11"/>
      <c r="D21" s="32"/>
      <c r="E21" s="102" t="str">
        <f>IF(Comparador!G26&gt;='Punto de Equilibrio'!C14,"✅ Sí — estás en zona de ganancia","❌ Aún no — necesitas vender más")</f>
        <v>✅ Sí — estás en zona de ganancia</v>
      </c>
      <c r="F21" s="11"/>
      <c r="G21" s="11"/>
      <c r="H21" s="32"/>
    </row>
    <row r="22" ht="30.0" customHeight="1">
      <c r="A22" s="1"/>
      <c r="B22" s="103" t="s">
        <v>102</v>
      </c>
      <c r="C22" s="11"/>
      <c r="D22" s="32"/>
      <c r="E22" s="104" t="str">
        <f>IF(COUNTIF(Comparador!F6:F25,"&lt;0")=0,"✅ Ninguna",COUNTIF(Comparador!F6:F25,"&lt;0")&amp;" prenda(s) perdiendo dinero")</f>
        <v>✅ Ninguna</v>
      </c>
      <c r="F22" s="11"/>
      <c r="G22" s="11"/>
      <c r="H22" s="32"/>
    </row>
    <row r="23" ht="30.0" customHeight="1">
      <c r="A23" s="1"/>
      <c r="B23" s="101" t="s">
        <v>103</v>
      </c>
      <c r="C23" s="11"/>
      <c r="D23" s="32"/>
      <c r="E23" s="102" t="str">
        <f>IF(IFERROR(AVERAGEIF(Comparador!F6:F25,"&gt;0"),0)&gt;=0.5,"✅ Excelente — sobre 50%",IF(IFERROR(AVERAGEIF(Comparador!F6:F25,"&gt;0"),0)&gt;=0.3,"🟡 Aceptable — entre 30% y 50%","🔴 Bajo — revisa precios y costos"))</f>
        <v>🔴 Bajo — revisa precios y costos</v>
      </c>
      <c r="F23" s="11"/>
      <c r="G23" s="11"/>
      <c r="H23" s="32"/>
    </row>
    <row r="24" ht="15.75" customHeight="1">
      <c r="A24" s="1"/>
    </row>
    <row r="25" ht="15.75" customHeight="1">
      <c r="A25" s="1"/>
    </row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">
    <mergeCell ref="D6:E6"/>
    <mergeCell ref="F6:G6"/>
    <mergeCell ref="B2:H2"/>
    <mergeCell ref="B3:H3"/>
    <mergeCell ref="B5:C5"/>
    <mergeCell ref="D5:E5"/>
    <mergeCell ref="F5:G5"/>
    <mergeCell ref="H5:I5"/>
    <mergeCell ref="H6:I6"/>
    <mergeCell ref="B21:D21"/>
    <mergeCell ref="E21:H21"/>
    <mergeCell ref="B22:D22"/>
    <mergeCell ref="E22:H22"/>
    <mergeCell ref="B23:D23"/>
    <mergeCell ref="E23:H23"/>
    <mergeCell ref="B6:C6"/>
    <mergeCell ref="B7:C7"/>
    <mergeCell ref="D7:E7"/>
    <mergeCell ref="F7:G7"/>
    <mergeCell ref="H7:I7"/>
    <mergeCell ref="B9:H9"/>
    <mergeCell ref="B20:H20"/>
  </mergeCells>
  <printOptions/>
  <pageMargins bottom="1.0" footer="0.0" header="0.0" left="0.75" right="0.75" top="1.0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2026-06-02T04:54:11Z</dcterms:created>
  <dc:creator>openpyxl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